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5.xml" ContentType="application/vnd.openxmlformats-officedocument.drawing+xml"/>
  <Override PartName="/xl/chartsheets/sheet7.xml" ContentType="application/vnd.openxmlformats-officedocument.spreadsheetml.chart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2240" windowHeight="7440" tabRatio="753" firstSheet="9" activeTab="13"/>
  </bookViews>
  <sheets>
    <sheet name="375_Физика" sheetId="1" r:id="rId1"/>
    <sheet name="375_Астрономия" sheetId="2" r:id="rId2"/>
    <sheet name="376_Физика" sheetId="3" r:id="rId3"/>
    <sheet name="376_Астрономия" sheetId="4" r:id="rId4"/>
    <sheet name="377_Физика" sheetId="5" r:id="rId5"/>
    <sheet name="377_Астрономия" sheetId="6" r:id="rId6"/>
    <sheet name="378_Физика" sheetId="7" r:id="rId7"/>
    <sheet name="379_Физика" sheetId="8" r:id="rId8"/>
    <sheet name="380_Физика" sheetId="9" r:id="rId9"/>
    <sheet name="Факультатив" sheetId="10" r:id="rId10"/>
    <sheet name="171иит_САПР" sheetId="11" r:id="rId11"/>
    <sheet name="377_Сводная_вед" sheetId="12" r:id="rId12"/>
    <sheet name="377_Ср_балл_Диаграм" sheetId="13" r:id="rId13"/>
    <sheet name="377_Ср_балл_рейтинг" sheetId="14" r:id="rId14"/>
    <sheet name="Отчет" sheetId="15" r:id="rId15"/>
    <sheet name="Лучшие" sheetId="16" r:id="rId16"/>
    <sheet name="Худшие" sheetId="17" r:id="rId17"/>
    <sheet name="Ср_балл" sheetId="18" r:id="rId18"/>
    <sheet name="Кач_успев" sheetId="19" r:id="rId19"/>
    <sheet name="Оценки" sheetId="20" r:id="rId20"/>
    <sheet name="Успеваемость" sheetId="21" r:id="rId21"/>
    <sheet name="Среднее_по_полугодиям" sheetId="22" r:id="rId22"/>
  </sheets>
  <definedNames>
    <definedName name="a" localSheetId="10">'171иит_САПР'!$A$3</definedName>
    <definedName name="a">#REF!</definedName>
  </definedNames>
  <calcPr fullCalcOnLoad="1"/>
</workbook>
</file>

<file path=xl/sharedStrings.xml><?xml version="1.0" encoding="utf-8"?>
<sst xmlns="http://schemas.openxmlformats.org/spreadsheetml/2006/main" count="1405" uniqueCount="417">
  <si>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</si>
  <si>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</si>
  <si>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</si>
  <si>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</si>
  <si>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</si>
  <si>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</si>
  <si>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</si>
  <si>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</si>
  <si>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</si>
  <si>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</si>
  <si>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</si>
  <si>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</si>
  <si>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</si>
  <si>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</si>
  <si>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</si>
  <si>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</si>
  <si>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</si>
  <si>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К-во уч-ся</t>
  </si>
  <si>
    <t>Оценки</t>
  </si>
  <si>
    <t>V сем.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</si>
  <si>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</si>
  <si>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</si>
  <si>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</si>
  <si>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</si>
  <si>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</si>
  <si>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</si>
  <si>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</si>
  <si>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</si>
  <si>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</si>
  <si>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</si>
  <si>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</si>
  <si>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</si>
  <si>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Кол-во и % усп. (4 -10)</t>
  </si>
  <si>
    <t>Кол-во и % качеств. усп. (7-10)</t>
  </si>
  <si>
    <t>Отлично (9-10)</t>
  </si>
  <si>
    <t>Неатестовано</t>
  </si>
  <si>
    <t>Кач.усп (%)</t>
  </si>
  <si>
    <t>10/11-I</t>
  </si>
  <si>
    <t>10/11-II</t>
  </si>
  <si>
    <t>11/12-I</t>
  </si>
  <si>
    <t>ЛР1</t>
  </si>
  <si>
    <t>ЛР2</t>
  </si>
  <si>
    <t>ЛР3</t>
  </si>
  <si>
    <t>ЛР6</t>
  </si>
  <si>
    <t>ЛР4</t>
  </si>
  <si>
    <t>11/12-II</t>
  </si>
  <si>
    <t>12/13-I</t>
  </si>
  <si>
    <t>№</t>
  </si>
  <si>
    <t>№ комп.</t>
  </si>
  <si>
    <t>12/13-II</t>
  </si>
  <si>
    <t>13/14-I</t>
  </si>
  <si>
    <t>13/14-II</t>
  </si>
  <si>
    <t>14/15-I</t>
  </si>
  <si>
    <t>5</t>
  </si>
  <si>
    <t>9</t>
  </si>
  <si>
    <t>13</t>
  </si>
  <si>
    <t>ПР1</t>
  </si>
  <si>
    <t>ПР2</t>
  </si>
  <si>
    <t>14/15-II</t>
  </si>
  <si>
    <t>15/16-I</t>
  </si>
  <si>
    <t>3</t>
  </si>
  <si>
    <t>6</t>
  </si>
  <si>
    <t>8</t>
  </si>
  <si>
    <t>4</t>
  </si>
  <si>
    <t>12</t>
  </si>
  <si>
    <t>11</t>
  </si>
  <si>
    <t>15/16-II</t>
  </si>
  <si>
    <t>16/17-I</t>
  </si>
  <si>
    <t>2</t>
  </si>
  <si>
    <t>10</t>
  </si>
  <si>
    <t>7</t>
  </si>
  <si>
    <t>Т1</t>
  </si>
  <si>
    <t>16/17-II</t>
  </si>
  <si>
    <t>17/18-I</t>
  </si>
  <si>
    <t>н</t>
  </si>
  <si>
    <t>17/18-II</t>
  </si>
  <si>
    <t>18/19-I</t>
  </si>
  <si>
    <t>Зачет</t>
  </si>
  <si>
    <t>18/19-II</t>
  </si>
  <si>
    <t>19/20-I</t>
  </si>
  <si>
    <t>Физика, гр. 380, 1-й курс</t>
  </si>
  <si>
    <t>I пол.</t>
  </si>
  <si>
    <t>КР1</t>
  </si>
  <si>
    <t>Повторение</t>
  </si>
  <si>
    <t>Основы МКТ</t>
  </si>
  <si>
    <t>Кайкова Дарья</t>
  </si>
  <si>
    <t>Улан Дарья</t>
  </si>
  <si>
    <t>Павлюкевич Анастасия</t>
  </si>
  <si>
    <t>Литвинко Яна</t>
  </si>
  <si>
    <t>Жемойтина Илона</t>
  </si>
  <si>
    <t>Корицкая Патрисия</t>
  </si>
  <si>
    <t>Жук Екатерина</t>
  </si>
  <si>
    <t>Сильченко Рената</t>
  </si>
  <si>
    <t>Гордейчик Александра</t>
  </si>
  <si>
    <t>Юркунас Ангелина</t>
  </si>
  <si>
    <t>Толкач Маргарита</t>
  </si>
  <si>
    <t>Богданович Алина</t>
  </si>
  <si>
    <t>Микуть Марта</t>
  </si>
  <si>
    <t>Семашко Анна</t>
  </si>
  <si>
    <t>Лаврентьева Ксения</t>
  </si>
  <si>
    <t>Урбанович Мария</t>
  </si>
  <si>
    <t>Касперович Дарья</t>
  </si>
  <si>
    <t>Фафанова Диана</t>
  </si>
  <si>
    <t>Гензель Ольга</t>
  </si>
  <si>
    <t>Полещук Ангелина</t>
  </si>
  <si>
    <t>Мицкевич Анастасия</t>
  </si>
  <si>
    <t>Свидерская Ольга</t>
  </si>
  <si>
    <t>Ярмолович Анастасия</t>
  </si>
  <si>
    <t>Физика, гр. 379, 1-й курс</t>
  </si>
  <si>
    <t>Запольский Алексей</t>
  </si>
  <si>
    <t>Сосновский Даниил</t>
  </si>
  <si>
    <t>Павлович Максим</t>
  </si>
  <si>
    <t>Рохатко Дмитрий</t>
  </si>
  <si>
    <t>Пищик Роман</t>
  </si>
  <si>
    <t>Вокуленко Владислав</t>
  </si>
  <si>
    <t>Курносов Павел</t>
  </si>
  <si>
    <t>Бохан Вадим</t>
  </si>
  <si>
    <t>Крупович Артур</t>
  </si>
  <si>
    <t>Ефимович Дмитрий</t>
  </si>
  <si>
    <t>Вильбик Артём</t>
  </si>
  <si>
    <t>Мурин Виталий</t>
  </si>
  <si>
    <t>Чернявский Александр</t>
  </si>
  <si>
    <t>Мороз Алексей</t>
  </si>
  <si>
    <t>Физика, гр. 378, 1-й курс</t>
  </si>
  <si>
    <t>Кулеш Святослав</t>
  </si>
  <si>
    <t>Курносов Александр</t>
  </si>
  <si>
    <t>Мацкевич Никита</t>
  </si>
  <si>
    <t>Сивохин Антон</t>
  </si>
  <si>
    <t>Кокошко Герман</t>
  </si>
  <si>
    <t>Григорович Максим</t>
  </si>
  <si>
    <t>Якименко Данила</t>
  </si>
  <si>
    <t>Радион Александр</t>
  </si>
  <si>
    <t>Масловский Алексей</t>
  </si>
  <si>
    <t>Шимановский Иван</t>
  </si>
  <si>
    <t>Станюк Андрей</t>
  </si>
  <si>
    <t>Руселевич Матвей</t>
  </si>
  <si>
    <t>Ненартович Виктор</t>
  </si>
  <si>
    <t>Говенко Кирилл</t>
  </si>
  <si>
    <t>Кокошко Павел</t>
  </si>
  <si>
    <t>Василинчик Никита</t>
  </si>
  <si>
    <t>Лазарь Максим</t>
  </si>
  <si>
    <t>Гребенчук Алексей</t>
  </si>
  <si>
    <t>Петровский Матвей</t>
  </si>
  <si>
    <t>Жемойтель Диана</t>
  </si>
  <si>
    <t>Колыско Анастасия</t>
  </si>
  <si>
    <t>Касперович Александр</t>
  </si>
  <si>
    <t>Вильчевский Вадим</t>
  </si>
  <si>
    <t>Галковский Артём</t>
  </si>
  <si>
    <t>Гимик Даниил</t>
  </si>
  <si>
    <t>Исайчиков Евгений</t>
  </si>
  <si>
    <t>Кежун Александр</t>
  </si>
  <si>
    <t>Матисович Анатолий</t>
  </si>
  <si>
    <t>Минин Александр</t>
  </si>
  <si>
    <t>Траян Артём</t>
  </si>
  <si>
    <t>Алюк Илья</t>
  </si>
  <si>
    <t>Банцевич Вероника</t>
  </si>
  <si>
    <t>Бобнис Каролина</t>
  </si>
  <si>
    <t>Витукевич Карина</t>
  </si>
  <si>
    <t>Журба Валерия</t>
  </si>
  <si>
    <t>Иванч Ксения</t>
  </si>
  <si>
    <t>Кивачук Елена</t>
  </si>
  <si>
    <t>Козлова Ангелина</t>
  </si>
  <si>
    <t>Коледа Татьяна</t>
  </si>
  <si>
    <t>Куликова Александра</t>
  </si>
  <si>
    <t>Миклис Ксения</t>
  </si>
  <si>
    <t>Орловская Мария</t>
  </si>
  <si>
    <t>Пархоменко Русалина</t>
  </si>
  <si>
    <t>Парчевская Екатерина</t>
  </si>
  <si>
    <t>Пекша Роман</t>
  </si>
  <si>
    <t>Полубояринова Ангелина</t>
  </si>
  <si>
    <t>Санкевич Виктория</t>
  </si>
  <si>
    <t>Слушко Мария</t>
  </si>
  <si>
    <t>Сушко Маргарита</t>
  </si>
  <si>
    <t>Тубилевич Яна</t>
  </si>
  <si>
    <t>Унгур Анна</t>
  </si>
  <si>
    <t>Ушакова Маргарита</t>
  </si>
  <si>
    <t>Ушко Яна</t>
  </si>
  <si>
    <t>Цуба Николай</t>
  </si>
  <si>
    <t>Чернель Полина</t>
  </si>
  <si>
    <t>Астрономия, гр. 377, 2-й курс</t>
  </si>
  <si>
    <t>САПР информационно-измерительных систем, гр. 171иит, 4 курс (ГрГУ, вечерники).</t>
  </si>
  <si>
    <t>Бернацкий Алексей</t>
  </si>
  <si>
    <t>Гончаренок Евгений</t>
  </si>
  <si>
    <t>Каспер Владислав</t>
  </si>
  <si>
    <t>Ленкевич Дмитрий</t>
  </si>
  <si>
    <t>Мороз Михаил</t>
  </si>
  <si>
    <t>Орловец Юрий</t>
  </si>
  <si>
    <t>Пашко Евгений</t>
  </si>
  <si>
    <t>Русинович Максим</t>
  </si>
  <si>
    <t>Рыхлицкий Дмитрий</t>
  </si>
  <si>
    <t>Садоха Владислав</t>
  </si>
  <si>
    <t>Слюзков Артем</t>
  </si>
  <si>
    <t>Смурага Алексей</t>
  </si>
  <si>
    <t>Шот-Четович Александр</t>
  </si>
  <si>
    <t>Юркевич Александр</t>
  </si>
  <si>
    <t>Янович Павел</t>
  </si>
  <si>
    <t>Варианты: N (номер компьютера)</t>
  </si>
  <si>
    <t>У</t>
  </si>
  <si>
    <t>ФД1</t>
  </si>
  <si>
    <t>Анашкевич Милош</t>
  </si>
  <si>
    <t>Борсуков Денис</t>
  </si>
  <si>
    <t>Доргевич Дмитрий</t>
  </si>
  <si>
    <t>Жестков Никита</t>
  </si>
  <si>
    <t>Заневский Егор</t>
  </si>
  <si>
    <t>Касюкевич Егор</t>
  </si>
  <si>
    <t>Красильников Владислав</t>
  </si>
  <si>
    <t>Матецкий Никита</t>
  </si>
  <si>
    <t>Папко Николай</t>
  </si>
  <si>
    <t>Редчиц Игорь</t>
  </si>
  <si>
    <t>Федутик Евгений</t>
  </si>
  <si>
    <t>Физика</t>
  </si>
  <si>
    <t>Астрономия</t>
  </si>
  <si>
    <t>375 Физика</t>
  </si>
  <si>
    <t>375 Астрономия</t>
  </si>
  <si>
    <t>376 Физика</t>
  </si>
  <si>
    <t>КР2</t>
  </si>
  <si>
    <t>н</t>
  </si>
  <si>
    <t>н</t>
  </si>
  <si>
    <t>н</t>
  </si>
  <si>
    <t>н</t>
  </si>
  <si>
    <t>н</t>
  </si>
  <si>
    <t>Оптика</t>
  </si>
  <si>
    <t>Клепацкий Андрей</t>
  </si>
  <si>
    <t>Физика, гр. 375, 2-й курс</t>
  </si>
  <si>
    <t>Рыбаков Иван</t>
  </si>
  <si>
    <t>Санюк Антон</t>
  </si>
  <si>
    <t>Ушко Вадим</t>
  </si>
  <si>
    <t>Гулиев Александр</t>
  </si>
  <si>
    <t>Сыманюк Максим</t>
  </si>
  <si>
    <t>Запасник Максим</t>
  </si>
  <si>
    <t>Гурьян Александр</t>
  </si>
  <si>
    <t>Ирчиц Роберт</t>
  </si>
  <si>
    <t>Седлецкий Антон</t>
  </si>
  <si>
    <t>Ярмантович Евгений</t>
  </si>
  <si>
    <t>Андруховец Илья</t>
  </si>
  <si>
    <t>Мулица Аугустин</t>
  </si>
  <si>
    <t>Ясюкайть Владислав</t>
  </si>
  <si>
    <t>Ивашевич Никита</t>
  </si>
  <si>
    <t>Бубен Вадим</t>
  </si>
  <si>
    <t>Рухлевич Максим</t>
  </si>
  <si>
    <t>Тишкевич Максим</t>
  </si>
  <si>
    <t>Лянцевич Кирилл</t>
  </si>
  <si>
    <t>Поварго Никита</t>
  </si>
  <si>
    <t>Буры Евгений</t>
  </si>
  <si>
    <t>Павлович Даниил</t>
  </si>
  <si>
    <t>Тешкель Руслан</t>
  </si>
  <si>
    <t>Харченко Д</t>
  </si>
  <si>
    <t>Мельников Алексей</t>
  </si>
  <si>
    <t>Пикта Роман</t>
  </si>
  <si>
    <t>Рум Александр</t>
  </si>
  <si>
    <t>Бернацкий Егор</t>
  </si>
  <si>
    <t>Табола Константин</t>
  </si>
  <si>
    <t>Конон Дмитрий</t>
  </si>
  <si>
    <t>Кушелевич Алексей</t>
  </si>
  <si>
    <t>Бранчель Егор</t>
  </si>
  <si>
    <t>Непряхин Владислав</t>
  </si>
  <si>
    <t>Бранцевич Александр</t>
  </si>
  <si>
    <t>Борис Матвей</t>
  </si>
  <si>
    <t>Пукало Андрей</t>
  </si>
  <si>
    <t>Горбач Александр</t>
  </si>
  <si>
    <t>Гришан Илья</t>
  </si>
  <si>
    <t>Соболевский Евгений</t>
  </si>
  <si>
    <t>Ярошевич Алексей</t>
  </si>
  <si>
    <t>Сторта Никита</t>
  </si>
  <si>
    <t>Иванов Артем</t>
  </si>
  <si>
    <t>Вентис Денис</t>
  </si>
  <si>
    <t>Микуть Денис</t>
  </si>
  <si>
    <t>Запасник Денис</t>
  </si>
  <si>
    <t>Астрономия, гр. 376, 2-й курс</t>
  </si>
  <si>
    <t>Осн_пр_астр</t>
  </si>
  <si>
    <t>Осн_практ_астр</t>
  </si>
  <si>
    <t>Лавыш Евгений</t>
  </si>
  <si>
    <t>Термодин</t>
  </si>
  <si>
    <t>Т2</t>
  </si>
  <si>
    <t>ОКР1</t>
  </si>
  <si>
    <t>КР - контрольная работа; ОКР - обязательная контрольная работа; Т - тест; ФД - физический диктант; У - оценка на уроке.</t>
  </si>
  <si>
    <t>КР - контрольная работа; ОКР - обязательная контрольная работа; Т - тест; У - оценка на уроке.</t>
  </si>
  <si>
    <t>376 Астрономия</t>
  </si>
  <si>
    <t>377 Физика</t>
  </si>
  <si>
    <t>377 Астрономия</t>
  </si>
  <si>
    <t>378 Физика</t>
  </si>
  <si>
    <t>379 Физика</t>
  </si>
  <si>
    <t>380 Физика</t>
  </si>
  <si>
    <t>КР - контрольная работа; ОКР - обязательная контрольная работа; Т - тест; П - практическая работа; У - оценка на уроке.</t>
  </si>
  <si>
    <t>Удовл. (3-6)</t>
  </si>
  <si>
    <t>Неудовл. (0-2)</t>
  </si>
  <si>
    <t>КР - контрольная работа; ПР - практическая работа; ОКР - обязательная контрольная работа; Т - тест; У - оценка на уроке.</t>
  </si>
  <si>
    <t>ПР3</t>
  </si>
  <si>
    <t>Т1-2</t>
  </si>
  <si>
    <t>Т3</t>
  </si>
  <si>
    <t>Движ_неб_тел</t>
  </si>
  <si>
    <t>Факультатив по физике, 2 курс.</t>
  </si>
  <si>
    <t>группа</t>
  </si>
  <si>
    <t>375</t>
  </si>
  <si>
    <t>376</t>
  </si>
  <si>
    <t>377</t>
  </si>
  <si>
    <t>Электростатика</t>
  </si>
  <si>
    <t>КР3</t>
  </si>
  <si>
    <t>Фотоны</t>
  </si>
  <si>
    <t>+</t>
  </si>
  <si>
    <t>ПР4</t>
  </si>
  <si>
    <t>Т4</t>
  </si>
  <si>
    <t>Сравн_планет</t>
  </si>
  <si>
    <t>КР4</t>
  </si>
  <si>
    <t>Электр_ток</t>
  </si>
  <si>
    <t>II пол.</t>
  </si>
  <si>
    <t>Год</t>
  </si>
  <si>
    <t>Ядерная_физ</t>
  </si>
  <si>
    <t>Т5</t>
  </si>
  <si>
    <t>Т6</t>
  </si>
  <si>
    <t>Звезды</t>
  </si>
  <si>
    <t>Т7</t>
  </si>
  <si>
    <t>Вселенная</t>
  </si>
  <si>
    <t>Т8</t>
  </si>
  <si>
    <t>Год/Итог</t>
  </si>
  <si>
    <t>I полугодие</t>
  </si>
  <si>
    <t>II полугодие</t>
  </si>
  <si>
    <t>Всего II полугодие:</t>
  </si>
  <si>
    <t>Всего I полугодие:</t>
  </si>
  <si>
    <t>Кол-во и % качеств. усп. (6-10)</t>
  </si>
  <si>
    <t>Хорошо (6-8)</t>
  </si>
  <si>
    <t>2020-21 уч.г.</t>
  </si>
  <si>
    <t>19/20-II</t>
  </si>
  <si>
    <t>20/21-I</t>
  </si>
  <si>
    <t>Сводная ведомость оценок, гр. 377, 2-й курс</t>
  </si>
  <si>
    <t>Г</t>
  </si>
  <si>
    <t>И</t>
  </si>
  <si>
    <t>Э</t>
  </si>
  <si>
    <t>Бел_яз</t>
  </si>
  <si>
    <t>Бел_лит</t>
  </si>
  <si>
    <t>Произв_обуч</t>
  </si>
  <si>
    <t>Рус_яз</t>
  </si>
  <si>
    <t>Рус_лит</t>
  </si>
  <si>
    <t>Ин_яз</t>
  </si>
  <si>
    <t>История_Бел</t>
  </si>
  <si>
    <t>Математика</t>
  </si>
  <si>
    <t>Химия</t>
  </si>
  <si>
    <t>Биология</t>
  </si>
  <si>
    <t>Физ_культура</t>
  </si>
  <si>
    <t>зач</t>
  </si>
  <si>
    <t>осв</t>
  </si>
  <si>
    <t>ДП/МП</t>
  </si>
  <si>
    <t>Прикл_информ</t>
  </si>
  <si>
    <t>Психол_этика</t>
  </si>
  <si>
    <t>Торг_вычисл</t>
  </si>
  <si>
    <t>Товаровед_непрод</t>
  </si>
  <si>
    <t>Товаровед_прод</t>
  </si>
  <si>
    <t>9-10</t>
  </si>
  <si>
    <t>6-8</t>
  </si>
  <si>
    <t>3-5</t>
  </si>
  <si>
    <t>1-2</t>
  </si>
  <si>
    <t>Количество оценок, 1-е полугодие</t>
  </si>
  <si>
    <t>Количество оценок, 2-е полугодие</t>
  </si>
  <si>
    <t>Количество оценок, годовые</t>
  </si>
  <si>
    <t>1-е полугодие:</t>
  </si>
  <si>
    <t>"Хорошо и отлично" (6-10):</t>
  </si>
  <si>
    <t>Неуспевающие (1-2):</t>
  </si>
  <si>
    <t>Кол-во</t>
  </si>
  <si>
    <t>Р-5</t>
  </si>
  <si>
    <t>Р-6</t>
  </si>
  <si>
    <t>Дв_неб_тел</t>
  </si>
  <si>
    <t>Планеты</t>
  </si>
  <si>
    <t>Атом</t>
  </si>
  <si>
    <t>К4</t>
  </si>
  <si>
    <t>Ток_среда</t>
  </si>
  <si>
    <t>20/21-II</t>
  </si>
  <si>
    <t>Средний балл и качественная успеваемость по полугодиям</t>
  </si>
  <si>
    <t>ПР5</t>
  </si>
  <si>
    <t>Магнитное поле</t>
  </si>
  <si>
    <t>ОКР4</t>
  </si>
  <si>
    <t>Р5</t>
  </si>
  <si>
    <t>Р6</t>
  </si>
  <si>
    <t>ОКР2</t>
  </si>
  <si>
    <t>Среда</t>
  </si>
  <si>
    <t>Магн_поле</t>
  </si>
  <si>
    <t>Эл-м_кол_в</t>
  </si>
  <si>
    <t>Магнитное_поле</t>
  </si>
  <si>
    <t>КР5</t>
  </si>
  <si>
    <t>Мех_кол_волны</t>
  </si>
  <si>
    <t>ОКР3</t>
  </si>
  <si>
    <t>ЛР5</t>
  </si>
  <si>
    <t>Харченко Данила</t>
  </si>
  <si>
    <t>Оборуд.</t>
  </si>
  <si>
    <t>КулХарБл</t>
  </si>
  <si>
    <t>2-е полугодие:</t>
  </si>
  <si>
    <t>Год:</t>
  </si>
  <si>
    <t>Эл-м_кол_волны</t>
  </si>
  <si>
    <t>Спец_тех</t>
  </si>
  <si>
    <t>7/7</t>
  </si>
  <si>
    <t>6/3</t>
  </si>
  <si>
    <t>5/6</t>
  </si>
  <si>
    <t>5/5</t>
  </si>
  <si>
    <t>6/5</t>
  </si>
  <si>
    <t>6/4</t>
  </si>
  <si>
    <t>7/5</t>
  </si>
  <si>
    <t>5/1</t>
  </si>
  <si>
    <t>8/5</t>
  </si>
  <si>
    <t>6/6</t>
  </si>
  <si>
    <t>7/6</t>
  </si>
  <si>
    <t>Нет</t>
  </si>
  <si>
    <t>Неаттестованы (0):</t>
  </si>
  <si>
    <t>Рейтинг уч-ся гр. 377 по среднему баллу</t>
  </si>
  <si>
    <t>Балл</t>
  </si>
  <si>
    <t>5/4</t>
  </si>
  <si>
    <t>9/6</t>
  </si>
  <si>
    <t>8/6</t>
  </si>
  <si>
    <t>4/3</t>
  </si>
  <si>
    <t>Общий средний балл =</t>
  </si>
  <si>
    <t>4-5</t>
  </si>
  <si>
    <t>18-19</t>
  </si>
  <si>
    <t>12-13</t>
  </si>
  <si>
    <t>Продав.</t>
  </si>
  <si>
    <t>Офиц.</t>
  </si>
  <si>
    <t>Произв. обучение (Г)</t>
  </si>
  <si>
    <t>1</t>
  </si>
  <si>
    <t>11-12</t>
  </si>
  <si>
    <t>17-18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</si>
</sst>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;@"/>
    <numFmt numFmtId="183" formatCode="d/m;@"/>
    <numFmt numFmtId="184" formatCode="[$-FC19]d\ mmmm\ yyyy\ &quot;г.&quot;"/>
    <numFmt numFmtId="185" formatCode="0.0000"/>
    <numFmt numFmtId="186" formatCode="0.000"/>
    <numFmt numFmtId="187" formatCode="mmm/yyyy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11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Border="1" applyAlignment="1">
      <alignment horizontal="left"/>
    </xf>
    <xf numFmtId="183" fontId="0" fillId="0" borderId="15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3" fontId="0" fillId="0" borderId="26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183" fontId="0" fillId="0" borderId="17" xfId="0" applyNumberFormat="1" applyBorder="1" applyAlignment="1">
      <alignment horizontal="center"/>
    </xf>
    <xf numFmtId="183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83" fontId="0" fillId="0" borderId="31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32" borderId="12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Font="1" applyBorder="1" applyAlignment="1">
      <alignment horizontal="center"/>
    </xf>
    <xf numFmtId="183" fontId="0" fillId="0" borderId="1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0" fillId="32" borderId="25" xfId="0" applyNumberFormat="1" applyFill="1" applyBorder="1" applyAlignment="1">
      <alignment horizontal="center"/>
    </xf>
    <xf numFmtId="183" fontId="0" fillId="0" borderId="41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42" xfId="0" applyFont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1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2" borderId="25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32" borderId="10" xfId="0" applyFont="1" applyFill="1" applyBorder="1" applyAlignment="1">
      <alignment/>
    </xf>
    <xf numFmtId="2" fontId="21" fillId="32" borderId="47" xfId="0" applyNumberFormat="1" applyFont="1" applyFill="1" applyBorder="1" applyAlignment="1">
      <alignment horizontal="center"/>
    </xf>
    <xf numFmtId="2" fontId="21" fillId="32" borderId="48" xfId="0" applyNumberFormat="1" applyFont="1" applyFill="1" applyBorder="1" applyAlignment="1">
      <alignment horizontal="center"/>
    </xf>
    <xf numFmtId="2" fontId="21" fillId="32" borderId="49" xfId="0" applyNumberFormat="1" applyFont="1" applyFill="1" applyBorder="1" applyAlignment="1">
      <alignment horizontal="center"/>
    </xf>
    <xf numFmtId="2" fontId="21" fillId="32" borderId="50" xfId="0" applyNumberFormat="1" applyFont="1" applyFill="1" applyBorder="1" applyAlignment="1">
      <alignment horizontal="center"/>
    </xf>
    <xf numFmtId="2" fontId="21" fillId="32" borderId="51" xfId="0" applyNumberFormat="1" applyFont="1" applyFill="1" applyBorder="1" applyAlignment="1">
      <alignment horizontal="center"/>
    </xf>
    <xf numFmtId="2" fontId="21" fillId="32" borderId="52" xfId="0" applyNumberFormat="1" applyFont="1" applyFill="1" applyBorder="1" applyAlignment="1">
      <alignment horizontal="center"/>
    </xf>
    <xf numFmtId="2" fontId="21" fillId="32" borderId="13" xfId="0" applyNumberFormat="1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1" fillId="32" borderId="45" xfId="0" applyFont="1" applyFill="1" applyBorder="1" applyAlignment="1">
      <alignment/>
    </xf>
    <xf numFmtId="0" fontId="21" fillId="32" borderId="53" xfId="0" applyFont="1" applyFill="1" applyBorder="1" applyAlignment="1">
      <alignment horizontal="center"/>
    </xf>
    <xf numFmtId="0" fontId="21" fillId="32" borderId="46" xfId="0" applyFont="1" applyFill="1" applyBorder="1" applyAlignment="1">
      <alignment horizontal="center"/>
    </xf>
    <xf numFmtId="0" fontId="21" fillId="32" borderId="54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28" xfId="0" applyFont="1" applyFill="1" applyBorder="1" applyAlignment="1">
      <alignment horizontal="center"/>
    </xf>
    <xf numFmtId="0" fontId="21" fillId="32" borderId="46" xfId="0" applyFont="1" applyFill="1" applyBorder="1" applyAlignment="1">
      <alignment/>
    </xf>
    <xf numFmtId="10" fontId="21" fillId="32" borderId="13" xfId="0" applyNumberFormat="1" applyFont="1" applyFill="1" applyBorder="1" applyAlignment="1">
      <alignment horizontal="center"/>
    </xf>
    <xf numFmtId="1" fontId="21" fillId="32" borderId="4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32" borderId="10" xfId="0" applyFont="1" applyFill="1" applyBorder="1" applyAlignment="1">
      <alignment/>
    </xf>
    <xf numFmtId="9" fontId="21" fillId="32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>
      <alignment horizontal="center"/>
    </xf>
    <xf numFmtId="0" fontId="21" fillId="32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21" fillId="32" borderId="28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2" fontId="21" fillId="32" borderId="55" xfId="0" applyNumberFormat="1" applyFont="1" applyFill="1" applyBorder="1" applyAlignment="1">
      <alignment horizontal="center"/>
    </xf>
    <xf numFmtId="2" fontId="21" fillId="32" borderId="56" xfId="0" applyNumberFormat="1" applyFont="1" applyFill="1" applyBorder="1" applyAlignment="1">
      <alignment horizontal="center"/>
    </xf>
    <xf numFmtId="2" fontId="21" fillId="32" borderId="57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32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1" fillId="32" borderId="31" xfId="0" applyFont="1" applyFill="1" applyBorder="1" applyAlignment="1">
      <alignment horizontal="center"/>
    </xf>
    <xf numFmtId="0" fontId="21" fillId="32" borderId="15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83" fontId="0" fillId="0" borderId="58" xfId="0" applyNumberFormat="1" applyBorder="1" applyAlignment="1">
      <alignment horizontal="center"/>
    </xf>
    <xf numFmtId="2" fontId="21" fillId="32" borderId="59" xfId="0" applyNumberFormat="1" applyFont="1" applyFill="1" applyBorder="1" applyAlignment="1">
      <alignment horizontal="center"/>
    </xf>
    <xf numFmtId="2" fontId="21" fillId="32" borderId="45" xfId="0" applyNumberFormat="1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21" fillId="32" borderId="5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32" borderId="54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2" fontId="21" fillId="32" borderId="21" xfId="0" applyNumberFormat="1" applyFont="1" applyFill="1" applyBorder="1" applyAlignment="1">
      <alignment horizontal="center"/>
    </xf>
    <xf numFmtId="2" fontId="21" fillId="32" borderId="22" xfId="0" applyNumberFormat="1" applyFont="1" applyFill="1" applyBorder="1" applyAlignment="1">
      <alignment horizontal="center"/>
    </xf>
    <xf numFmtId="0" fontId="21" fillId="32" borderId="4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21" fillId="0" borderId="45" xfId="0" applyFont="1" applyBorder="1" applyAlignment="1">
      <alignment horizontal="center"/>
    </xf>
    <xf numFmtId="9" fontId="21" fillId="0" borderId="45" xfId="0" applyNumberFormat="1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9" fontId="21" fillId="0" borderId="60" xfId="0" applyNumberFormat="1" applyFont="1" applyBorder="1" applyAlignment="1">
      <alignment horizontal="center"/>
    </xf>
    <xf numFmtId="2" fontId="21" fillId="0" borderId="37" xfId="0" applyNumberFormat="1" applyFont="1" applyBorder="1" applyAlignment="1">
      <alignment horizontal="center"/>
    </xf>
    <xf numFmtId="9" fontId="0" fillId="0" borderId="37" xfId="0" applyNumberFormat="1" applyFont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2" fontId="21" fillId="0" borderId="45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3" borderId="10" xfId="0" applyFont="1" applyFill="1" applyBorder="1" applyAlignment="1">
      <alignment/>
    </xf>
    <xf numFmtId="0" fontId="21" fillId="32" borderId="61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1" fontId="21" fillId="32" borderId="46" xfId="0" applyNumberFormat="1" applyFont="1" applyFill="1" applyBorder="1" applyAlignment="1">
      <alignment horizontal="center" vertical="center"/>
    </xf>
    <xf numFmtId="1" fontId="21" fillId="32" borderId="38" xfId="0" applyNumberFormat="1" applyFont="1" applyFill="1" applyBorder="1" applyAlignment="1">
      <alignment horizontal="center"/>
    </xf>
    <xf numFmtId="1" fontId="21" fillId="32" borderId="24" xfId="0" applyNumberFormat="1" applyFont="1" applyFill="1" applyBorder="1" applyAlignment="1">
      <alignment horizontal="center"/>
    </xf>
    <xf numFmtId="2" fontId="21" fillId="32" borderId="62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60" xfId="0" applyFont="1" applyFill="1" applyBorder="1" applyAlignment="1">
      <alignment horizontal="center"/>
    </xf>
    <xf numFmtId="9" fontId="0" fillId="0" borderId="45" xfId="0" applyNumberFormat="1" applyFont="1" applyBorder="1" applyAlignment="1">
      <alignment horizontal="center"/>
    </xf>
    <xf numFmtId="9" fontId="21" fillId="0" borderId="57" xfId="0" applyNumberFormat="1" applyFont="1" applyBorder="1" applyAlignment="1">
      <alignment horizontal="center"/>
    </xf>
    <xf numFmtId="0" fontId="21" fillId="4" borderId="10" xfId="0" applyFont="1" applyFill="1" applyBorder="1" applyAlignment="1">
      <alignment horizontal="right"/>
    </xf>
    <xf numFmtId="2" fontId="21" fillId="4" borderId="10" xfId="0" applyNumberFormat="1" applyFont="1" applyFill="1" applyBorder="1" applyAlignment="1">
      <alignment horizontal="center"/>
    </xf>
    <xf numFmtId="0" fontId="21" fillId="4" borderId="12" xfId="0" applyFont="1" applyFill="1" applyBorder="1" applyAlignment="1">
      <alignment/>
    </xf>
    <xf numFmtId="0" fontId="21" fillId="4" borderId="18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2" fontId="21" fillId="3" borderId="10" xfId="0" applyNumberFormat="1" applyFont="1" applyFill="1" applyBorder="1" applyAlignment="1">
      <alignment/>
    </xf>
    <xf numFmtId="0" fontId="21" fillId="32" borderId="43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25" xfId="0" applyFill="1" applyBorder="1" applyAlignment="1">
      <alignment/>
    </xf>
    <xf numFmtId="0" fontId="21" fillId="32" borderId="63" xfId="0" applyFont="1" applyFill="1" applyBorder="1" applyAlignment="1">
      <alignment horizontal="center"/>
    </xf>
    <xf numFmtId="0" fontId="21" fillId="32" borderId="6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1" fillId="32" borderId="26" xfId="0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1" fillId="32" borderId="65" xfId="0" applyNumberFormat="1" applyFont="1" applyFill="1" applyBorder="1" applyAlignment="1">
      <alignment horizontal="center"/>
    </xf>
    <xf numFmtId="2" fontId="21" fillId="32" borderId="66" xfId="0" applyNumberFormat="1" applyFont="1" applyFill="1" applyBorder="1" applyAlignment="1">
      <alignment horizontal="center"/>
    </xf>
    <xf numFmtId="2" fontId="21" fillId="32" borderId="67" xfId="0" applyNumberFormat="1" applyFont="1" applyFill="1" applyBorder="1" applyAlignment="1">
      <alignment horizontal="center"/>
    </xf>
    <xf numFmtId="0" fontId="21" fillId="32" borderId="47" xfId="0" applyFont="1" applyFill="1" applyBorder="1" applyAlignment="1">
      <alignment horizontal="center"/>
    </xf>
    <xf numFmtId="0" fontId="21" fillId="32" borderId="12" xfId="0" applyFont="1" applyFill="1" applyBorder="1" applyAlignment="1">
      <alignment/>
    </xf>
    <xf numFmtId="0" fontId="21" fillId="32" borderId="5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31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83" fontId="0" fillId="0" borderId="68" xfId="0" applyNumberForma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83" fontId="0" fillId="0" borderId="69" xfId="0" applyNumberFormat="1" applyBorder="1" applyAlignment="1">
      <alignment horizontal="center"/>
    </xf>
    <xf numFmtId="183" fontId="0" fillId="0" borderId="70" xfId="0" applyNumberFormat="1" applyBorder="1" applyAlignment="1">
      <alignment horizontal="center"/>
    </xf>
    <xf numFmtId="0" fontId="48" fillId="0" borderId="37" xfId="0" applyFont="1" applyBorder="1" applyAlignment="1">
      <alignment horizontal="center"/>
    </xf>
    <xf numFmtId="1" fontId="21" fillId="32" borderId="0" xfId="0" applyNumberFormat="1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83" fontId="0" fillId="0" borderId="71" xfId="0" applyNumberForma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1" fillId="32" borderId="28" xfId="0" applyFont="1" applyFill="1" applyBorder="1" applyAlignment="1">
      <alignment horizontal="center" vertical="center"/>
    </xf>
    <xf numFmtId="1" fontId="21" fillId="32" borderId="43" xfId="0" applyNumberFormat="1" applyFont="1" applyFill="1" applyBorder="1" applyAlignment="1">
      <alignment horizontal="center" vertical="center"/>
    </xf>
    <xf numFmtId="1" fontId="21" fillId="32" borderId="12" xfId="0" applyNumberFormat="1" applyFont="1" applyFill="1" applyBorder="1" applyAlignment="1">
      <alignment horizontal="center"/>
    </xf>
    <xf numFmtId="1" fontId="21" fillId="32" borderId="60" xfId="0" applyNumberFormat="1" applyFont="1" applyFill="1" applyBorder="1" applyAlignment="1">
      <alignment horizontal="center"/>
    </xf>
    <xf numFmtId="10" fontId="21" fillId="32" borderId="27" xfId="0" applyNumberFormat="1" applyFont="1" applyFill="1" applyBorder="1" applyAlignment="1">
      <alignment horizontal="center"/>
    </xf>
    <xf numFmtId="2" fontId="0" fillId="32" borderId="38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2" fontId="0" fillId="32" borderId="72" xfId="0" applyNumberForma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9" fontId="21" fillId="0" borderId="22" xfId="0" applyNumberFormat="1" applyFont="1" applyBorder="1" applyAlignment="1">
      <alignment horizontal="center"/>
    </xf>
    <xf numFmtId="0" fontId="0" fillId="0" borderId="59" xfId="0" applyFont="1" applyBorder="1" applyAlignment="1">
      <alignment horizontal="right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59" xfId="0" applyBorder="1" applyAlignment="1">
      <alignment/>
    </xf>
    <xf numFmtId="0" fontId="0" fillId="0" borderId="21" xfId="0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9" fontId="21" fillId="0" borderId="16" xfId="0" applyNumberFormat="1" applyFont="1" applyBorder="1" applyAlignment="1">
      <alignment horizontal="center"/>
    </xf>
    <xf numFmtId="9" fontId="21" fillId="0" borderId="19" xfId="0" applyNumberFormat="1" applyFont="1" applyBorder="1" applyAlignment="1">
      <alignment horizontal="center"/>
    </xf>
    <xf numFmtId="2" fontId="21" fillId="32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49" fontId="0" fillId="0" borderId="73" xfId="0" applyNumberFormat="1" applyBorder="1" applyAlignment="1">
      <alignment horizontal="center"/>
    </xf>
    <xf numFmtId="0" fontId="21" fillId="32" borderId="5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32" borderId="17" xfId="0" applyFill="1" applyBorder="1" applyAlignment="1">
      <alignment horizontal="right" vertical="center"/>
    </xf>
    <xf numFmtId="0" fontId="0" fillId="32" borderId="17" xfId="0" applyFill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21" fillId="32" borderId="61" xfId="0" applyFont="1" applyFill="1" applyBorder="1" applyAlignment="1">
      <alignment horizontal="center" vertical="center"/>
    </xf>
    <xf numFmtId="2" fontId="0" fillId="32" borderId="30" xfId="0" applyNumberFormat="1" applyFill="1" applyBorder="1" applyAlignment="1">
      <alignment/>
    </xf>
    <xf numFmtId="2" fontId="21" fillId="32" borderId="30" xfId="0" applyNumberFormat="1" applyFont="1" applyFill="1" applyBorder="1" applyAlignment="1">
      <alignment horizontal="center"/>
    </xf>
    <xf numFmtId="1" fontId="0" fillId="32" borderId="24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32" xfId="0" applyNumberFormat="1" applyFont="1" applyFill="1" applyBorder="1" applyAlignment="1">
      <alignment horizontal="center"/>
    </xf>
    <xf numFmtId="1" fontId="0" fillId="32" borderId="37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1" fontId="0" fillId="32" borderId="40" xfId="0" applyNumberFormat="1" applyFont="1" applyFill="1" applyBorder="1" applyAlignment="1">
      <alignment horizontal="center"/>
    </xf>
    <xf numFmtId="1" fontId="0" fillId="32" borderId="12" xfId="0" applyNumberFormat="1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" fontId="21" fillId="32" borderId="75" xfId="0" applyNumberFormat="1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1" fontId="21" fillId="32" borderId="30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21" fillId="32" borderId="29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2" fontId="21" fillId="32" borderId="63" xfId="0" applyNumberFormat="1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21" fillId="32" borderId="10" xfId="0" applyFont="1" applyFill="1" applyBorder="1" applyAlignment="1">
      <alignment horizontal="left"/>
    </xf>
    <xf numFmtId="2" fontId="0" fillId="32" borderId="29" xfId="0" applyNumberFormat="1" applyFill="1" applyBorder="1" applyAlignment="1">
      <alignment/>
    </xf>
    <xf numFmtId="0" fontId="48" fillId="0" borderId="44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" fontId="21" fillId="32" borderId="7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2" fontId="21" fillId="32" borderId="11" xfId="0" applyNumberFormat="1" applyFont="1" applyFill="1" applyBorder="1" applyAlignment="1">
      <alignment horizontal="center"/>
    </xf>
    <xf numFmtId="1" fontId="21" fillId="32" borderId="62" xfId="0" applyNumberFormat="1" applyFont="1" applyFill="1" applyBorder="1" applyAlignment="1">
      <alignment horizontal="center"/>
    </xf>
    <xf numFmtId="1" fontId="21" fillId="32" borderId="69" xfId="0" applyNumberFormat="1" applyFont="1" applyFill="1" applyBorder="1" applyAlignment="1">
      <alignment horizontal="center" vertical="center"/>
    </xf>
    <xf numFmtId="2" fontId="21" fillId="32" borderId="27" xfId="0" applyNumberFormat="1" applyFont="1" applyFill="1" applyBorder="1" applyAlignment="1">
      <alignment horizontal="center"/>
    </xf>
    <xf numFmtId="2" fontId="0" fillId="32" borderId="39" xfId="0" applyNumberFormat="1" applyFill="1" applyBorder="1" applyAlignment="1">
      <alignment/>
    </xf>
    <xf numFmtId="2" fontId="0" fillId="32" borderId="51" xfId="0" applyNumberFormat="1" applyFill="1" applyBorder="1" applyAlignment="1">
      <alignment/>
    </xf>
    <xf numFmtId="0" fontId="0" fillId="0" borderId="65" xfId="0" applyFont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2" fontId="0" fillId="38" borderId="0" xfId="0" applyNumberFormat="1" applyFill="1" applyAlignment="1">
      <alignment/>
    </xf>
    <xf numFmtId="0" fontId="0" fillId="35" borderId="33" xfId="0" applyFont="1" applyFill="1" applyBorder="1" applyAlignment="1">
      <alignment horizontal="center"/>
    </xf>
    <xf numFmtId="1" fontId="0" fillId="32" borderId="33" xfId="0" applyNumberFormat="1" applyFont="1" applyFill="1" applyBorder="1" applyAlignment="1">
      <alignment horizontal="center"/>
    </xf>
    <xf numFmtId="1" fontId="0" fillId="32" borderId="22" xfId="0" applyNumberFormat="1" applyFont="1" applyFill="1" applyBorder="1" applyAlignment="1">
      <alignment horizontal="center"/>
    </xf>
    <xf numFmtId="1" fontId="0" fillId="32" borderId="56" xfId="0" applyNumberFormat="1" applyFont="1" applyFill="1" applyBorder="1" applyAlignment="1">
      <alignment horizontal="center"/>
    </xf>
    <xf numFmtId="1" fontId="0" fillId="32" borderId="49" xfId="0" applyNumberFormat="1" applyFont="1" applyFill="1" applyBorder="1" applyAlignment="1">
      <alignment horizontal="center"/>
    </xf>
    <xf numFmtId="1" fontId="0" fillId="32" borderId="50" xfId="0" applyNumberFormat="1" applyFont="1" applyFill="1" applyBorder="1" applyAlignment="1">
      <alignment horizontal="center"/>
    </xf>
    <xf numFmtId="1" fontId="0" fillId="32" borderId="65" xfId="0" applyNumberFormat="1" applyFont="1" applyFill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" fontId="0" fillId="32" borderId="13" xfId="0" applyNumberFormat="1" applyFont="1" applyFill="1" applyBorder="1" applyAlignment="1">
      <alignment horizontal="center"/>
    </xf>
    <xf numFmtId="1" fontId="0" fillId="32" borderId="48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1" fontId="0" fillId="32" borderId="35" xfId="0" applyNumberFormat="1" applyFont="1" applyFill="1" applyBorder="1" applyAlignment="1">
      <alignment horizontal="center"/>
    </xf>
    <xf numFmtId="1" fontId="0" fillId="32" borderId="38" xfId="0" applyNumberFormat="1" applyFont="1" applyFill="1" applyBorder="1" applyAlignment="1">
      <alignment horizontal="center"/>
    </xf>
    <xf numFmtId="1" fontId="0" fillId="32" borderId="62" xfId="0" applyNumberFormat="1" applyFont="1" applyFill="1" applyBorder="1" applyAlignment="1">
      <alignment horizontal="center"/>
    </xf>
    <xf numFmtId="1" fontId="0" fillId="32" borderId="59" xfId="0" applyNumberFormat="1" applyFont="1" applyFill="1" applyBorder="1" applyAlignment="1">
      <alignment horizontal="center"/>
    </xf>
    <xf numFmtId="1" fontId="0" fillId="32" borderId="47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49" fontId="21" fillId="36" borderId="15" xfId="0" applyNumberFormat="1" applyFont="1" applyFill="1" applyBorder="1" applyAlignment="1">
      <alignment horizontal="center"/>
    </xf>
    <xf numFmtId="49" fontId="21" fillId="36" borderId="16" xfId="0" applyNumberFormat="1" applyFont="1" applyFill="1" applyBorder="1" applyAlignment="1">
      <alignment horizontal="center"/>
    </xf>
    <xf numFmtId="49" fontId="21" fillId="39" borderId="16" xfId="0" applyNumberFormat="1" applyFont="1" applyFill="1" applyBorder="1" applyAlignment="1">
      <alignment horizontal="center"/>
    </xf>
    <xf numFmtId="49" fontId="21" fillId="37" borderId="16" xfId="0" applyNumberFormat="1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/>
    </xf>
    <xf numFmtId="0" fontId="21" fillId="36" borderId="32" xfId="0" applyFont="1" applyFill="1" applyBorder="1" applyAlignment="1">
      <alignment horizontal="center"/>
    </xf>
    <xf numFmtId="0" fontId="21" fillId="36" borderId="37" xfId="0" applyFont="1" applyFill="1" applyBorder="1" applyAlignment="1">
      <alignment horizontal="center"/>
    </xf>
    <xf numFmtId="0" fontId="21" fillId="39" borderId="37" xfId="0" applyFont="1" applyFill="1" applyBorder="1" applyAlignment="1">
      <alignment horizontal="center"/>
    </xf>
    <xf numFmtId="0" fontId="21" fillId="37" borderId="37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/>
    </xf>
    <xf numFmtId="0" fontId="21" fillId="36" borderId="59" xfId="0" applyFont="1" applyFill="1" applyBorder="1" applyAlignment="1">
      <alignment horizontal="center"/>
    </xf>
    <xf numFmtId="0" fontId="21" fillId="36" borderId="45" xfId="0" applyFont="1" applyFill="1" applyBorder="1" applyAlignment="1">
      <alignment horizontal="center"/>
    </xf>
    <xf numFmtId="0" fontId="21" fillId="39" borderId="45" xfId="0" applyFont="1" applyFill="1" applyBorder="1" applyAlignment="1">
      <alignment horizontal="center"/>
    </xf>
    <xf numFmtId="0" fontId="21" fillId="37" borderId="45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36" borderId="41" xfId="0" applyFont="1" applyFill="1" applyBorder="1" applyAlignment="1">
      <alignment horizontal="center"/>
    </xf>
    <xf numFmtId="0" fontId="21" fillId="36" borderId="58" xfId="0" applyFont="1" applyFill="1" applyBorder="1" applyAlignment="1">
      <alignment horizontal="center"/>
    </xf>
    <xf numFmtId="0" fontId="21" fillId="39" borderId="58" xfId="0" applyFont="1" applyFill="1" applyBorder="1" applyAlignment="1">
      <alignment horizontal="center"/>
    </xf>
    <xf numFmtId="0" fontId="21" fillId="37" borderId="58" xfId="0" applyFont="1" applyFill="1" applyBorder="1" applyAlignment="1">
      <alignment horizontal="center"/>
    </xf>
    <xf numFmtId="0" fontId="21" fillId="37" borderId="36" xfId="0" applyFont="1" applyFill="1" applyBorder="1" applyAlignment="1">
      <alignment horizontal="center"/>
    </xf>
    <xf numFmtId="173" fontId="21" fillId="36" borderId="15" xfId="0" applyNumberFormat="1" applyFont="1" applyFill="1" applyBorder="1" applyAlignment="1">
      <alignment horizontal="center"/>
    </xf>
    <xf numFmtId="173" fontId="21" fillId="36" borderId="16" xfId="0" applyNumberFormat="1" applyFont="1" applyFill="1" applyBorder="1" applyAlignment="1">
      <alignment horizontal="center"/>
    </xf>
    <xf numFmtId="173" fontId="21" fillId="39" borderId="16" xfId="0" applyNumberFormat="1" applyFont="1" applyFill="1" applyBorder="1" applyAlignment="1">
      <alignment horizontal="center"/>
    </xf>
    <xf numFmtId="173" fontId="21" fillId="37" borderId="16" xfId="0" applyNumberFormat="1" applyFont="1" applyFill="1" applyBorder="1" applyAlignment="1">
      <alignment horizontal="center"/>
    </xf>
    <xf numFmtId="49" fontId="21" fillId="36" borderId="41" xfId="0" applyNumberFormat="1" applyFont="1" applyFill="1" applyBorder="1" applyAlignment="1">
      <alignment horizontal="center"/>
    </xf>
    <xf numFmtId="49" fontId="21" fillId="36" borderId="58" xfId="0" applyNumberFormat="1" applyFont="1" applyFill="1" applyBorder="1" applyAlignment="1">
      <alignment horizontal="center"/>
    </xf>
    <xf numFmtId="49" fontId="21" fillId="39" borderId="58" xfId="0" applyNumberFormat="1" applyFont="1" applyFill="1" applyBorder="1" applyAlignment="1">
      <alignment horizontal="center"/>
    </xf>
    <xf numFmtId="49" fontId="21" fillId="37" borderId="58" xfId="0" applyNumberFormat="1" applyFont="1" applyFill="1" applyBorder="1" applyAlignment="1">
      <alignment horizontal="center"/>
    </xf>
    <xf numFmtId="173" fontId="21" fillId="37" borderId="17" xfId="0" applyNumberFormat="1" applyFont="1" applyFill="1" applyBorder="1" applyAlignment="1">
      <alignment horizontal="center"/>
    </xf>
    <xf numFmtId="0" fontId="21" fillId="37" borderId="40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1" fillId="37" borderId="47" xfId="0" applyFont="1" applyFill="1" applyBorder="1" applyAlignment="1">
      <alignment horizontal="center"/>
    </xf>
    <xf numFmtId="0" fontId="21" fillId="37" borderId="17" xfId="0" applyFont="1" applyFill="1" applyBorder="1" applyAlignment="1">
      <alignment horizontal="center"/>
    </xf>
    <xf numFmtId="0" fontId="21" fillId="37" borderId="68" xfId="0" applyFont="1" applyFill="1" applyBorder="1" applyAlignment="1">
      <alignment horizontal="center"/>
    </xf>
    <xf numFmtId="173" fontId="21" fillId="36" borderId="31" xfId="0" applyNumberFormat="1" applyFont="1" applyFill="1" applyBorder="1" applyAlignment="1">
      <alignment horizontal="center"/>
    </xf>
    <xf numFmtId="2" fontId="21" fillId="32" borderId="79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48" fillId="35" borderId="12" xfId="0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173" fontId="21" fillId="36" borderId="46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32" borderId="60" xfId="0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right"/>
    </xf>
    <xf numFmtId="49" fontId="0" fillId="32" borderId="10" xfId="0" applyNumberFormat="1" applyFill="1" applyBorder="1" applyAlignment="1">
      <alignment horizontal="right"/>
    </xf>
    <xf numFmtId="49" fontId="21" fillId="32" borderId="11" xfId="0" applyNumberFormat="1" applyFont="1" applyFill="1" applyBorder="1" applyAlignment="1">
      <alignment horizontal="right"/>
    </xf>
    <xf numFmtId="0" fontId="21" fillId="37" borderId="12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1" fillId="32" borderId="28" xfId="0" applyFont="1" applyFill="1" applyBorder="1" applyAlignment="1">
      <alignment horizontal="center"/>
    </xf>
    <xf numFmtId="0" fontId="21" fillId="32" borderId="3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2" borderId="61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53" xfId="0" applyFont="1" applyFill="1" applyBorder="1" applyAlignment="1">
      <alignment horizontal="center"/>
    </xf>
    <xf numFmtId="0" fontId="21" fillId="32" borderId="17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/>
    </xf>
    <xf numFmtId="0" fontId="21" fillId="32" borderId="18" xfId="0" applyFont="1" applyFill="1" applyBorder="1" applyAlignment="1">
      <alignment horizontal="center"/>
    </xf>
    <xf numFmtId="0" fontId="21" fillId="32" borderId="15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21" fillId="32" borderId="50" xfId="0" applyFont="1" applyFill="1" applyBorder="1" applyAlignment="1">
      <alignment horizontal="center"/>
    </xf>
    <xf numFmtId="0" fontId="21" fillId="32" borderId="48" xfId="0" applyFont="1" applyFill="1" applyBorder="1" applyAlignment="1">
      <alignment horizontal="center"/>
    </xf>
    <xf numFmtId="0" fontId="21" fillId="32" borderId="65" xfId="0" applyFon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21" fillId="37" borderId="10" xfId="0" applyFont="1" applyFill="1" applyBorder="1" applyAlignment="1">
      <alignment horizontal="left"/>
    </xf>
    <xf numFmtId="0" fontId="21" fillId="37" borderId="12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32" borderId="80" xfId="0" applyFont="1" applyFill="1" applyBorder="1" applyAlignment="1">
      <alignment horizontal="center" vertical="center"/>
    </xf>
    <xf numFmtId="0" fontId="21" fillId="32" borderId="81" xfId="0" applyFont="1" applyFill="1" applyBorder="1" applyAlignment="1">
      <alignment horizontal="center" vertical="center"/>
    </xf>
    <xf numFmtId="0" fontId="21" fillId="32" borderId="69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2" borderId="31" xfId="0" applyFont="1" applyFill="1" applyBorder="1" applyAlignment="1">
      <alignment horizontal="center" vertical="center"/>
    </xf>
    <xf numFmtId="0" fontId="21" fillId="32" borderId="43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0" xfId="0" applyFill="1" applyBorder="1" applyAlignment="1">
      <alignment horizontal="right"/>
    </xf>
    <xf numFmtId="0" fontId="21" fillId="0" borderId="41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36" borderId="10" xfId="0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1" fillId="3" borderId="12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left"/>
    </xf>
    <xf numFmtId="0" fontId="21" fillId="4" borderId="13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center"/>
    </xf>
    <xf numFmtId="0" fontId="21" fillId="32" borderId="12" xfId="0" applyFont="1" applyFill="1" applyBorder="1" applyAlignment="1">
      <alignment/>
    </xf>
    <xf numFmtId="1" fontId="21" fillId="32" borderId="10" xfId="0" applyNumberFormat="1" applyFont="1" applyFill="1" applyBorder="1" applyAlignment="1">
      <alignment/>
    </xf>
    <xf numFmtId="1" fontId="21" fillId="32" borderId="10" xfId="0" applyNumberFormat="1" applyFont="1" applyFill="1" applyBorder="1" applyAlignment="1">
      <alignment horizontal="right"/>
    </xf>
    <xf numFmtId="1" fontId="0" fillId="32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3"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по полугодиям</a:t>
            </a:r>
          </a:p>
        </c:rich>
      </c:tx>
      <c:layout>
        <c:manualLayout>
          <c:xMode val="factor"/>
          <c:yMode val="factor"/>
          <c:x val="-0.23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225"/>
          <c:w val="0.969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'375_Физика'!$C$3:$C$24</c:f>
              <c:strCache/>
            </c:strRef>
          </c:cat>
          <c:val>
            <c:numRef>
              <c:f>'375_Физика'!$K$3:$K$24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'375_Физика'!$C$3:$C$24</c:f>
              <c:strCache/>
            </c:strRef>
          </c:cat>
          <c:val>
            <c:numRef>
              <c:f>'375_Физика'!$S$3:$S$24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5909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</a:t>
            </a:r>
          </a:p>
        </c:rich>
      </c:tx>
      <c:layout>
        <c:manualLayout>
          <c:xMode val="factor"/>
          <c:yMode val="factor"/>
          <c:x val="-0.278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5525"/>
          <c:w val="0.95775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tx>
            <c:v>1-е полугодие</c:v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'377_Сводная_вед'!$B$4:$B$27</c:f>
              <c:strCache>
                <c:ptCount val="24"/>
                <c:pt idx="0">
                  <c:v>Банцевич Вероника</c:v>
                </c:pt>
                <c:pt idx="1">
                  <c:v>Бобнис Каролина</c:v>
                </c:pt>
                <c:pt idx="2">
                  <c:v>Витукевич Карина</c:v>
                </c:pt>
                <c:pt idx="3">
                  <c:v>Журба Валерия</c:v>
                </c:pt>
                <c:pt idx="4">
                  <c:v>Иванч Ксения</c:v>
                </c:pt>
                <c:pt idx="5">
                  <c:v>Кивачук Елена</c:v>
                </c:pt>
                <c:pt idx="6">
                  <c:v>Клепацкий Андрей</c:v>
                </c:pt>
                <c:pt idx="7">
                  <c:v>Козлова Ангелина</c:v>
                </c:pt>
                <c:pt idx="8">
                  <c:v>Коледа Татьяна</c:v>
                </c:pt>
                <c:pt idx="9">
                  <c:v>Куликова Александра</c:v>
                </c:pt>
                <c:pt idx="10">
                  <c:v>Миклис Ксения</c:v>
                </c:pt>
                <c:pt idx="11">
                  <c:v>Орловская Мария</c:v>
                </c:pt>
                <c:pt idx="12">
                  <c:v>Пархоменко Русалина</c:v>
                </c:pt>
                <c:pt idx="13">
                  <c:v>Парчевская Екатерина</c:v>
                </c:pt>
                <c:pt idx="14">
                  <c:v>Пекша Роман</c:v>
                </c:pt>
                <c:pt idx="15">
                  <c:v>Полубояринова Ангелина</c:v>
                </c:pt>
                <c:pt idx="16">
                  <c:v>Санкевич Виктория</c:v>
                </c:pt>
                <c:pt idx="17">
                  <c:v>Сушко Маргарита</c:v>
                </c:pt>
                <c:pt idx="18">
                  <c:v>Тубилевич Яна</c:v>
                </c:pt>
                <c:pt idx="19">
                  <c:v>Унгур Анна</c:v>
                </c:pt>
                <c:pt idx="20">
                  <c:v>Ушакова Маргарита</c:v>
                </c:pt>
                <c:pt idx="21">
                  <c:v>Ушко Яна</c:v>
                </c:pt>
                <c:pt idx="22">
                  <c:v>Цуба Николай</c:v>
                </c:pt>
                <c:pt idx="23">
                  <c:v>Чернель Полина</c:v>
                </c:pt>
              </c:strCache>
            </c:strRef>
          </c:cat>
          <c:val>
            <c:numRef>
              <c:f>'377_Сводная_вед'!$CH$4:$CH$27</c:f>
              <c:numCache>
                <c:ptCount val="24"/>
                <c:pt idx="0">
                  <c:v>4.631578947368421</c:v>
                </c:pt>
                <c:pt idx="1">
                  <c:v>7.722222222222222</c:v>
                </c:pt>
                <c:pt idx="2">
                  <c:v>5.157894736842105</c:v>
                </c:pt>
                <c:pt idx="3">
                  <c:v>4.368421052631579</c:v>
                </c:pt>
                <c:pt idx="4">
                  <c:v>5.222222222222222</c:v>
                </c:pt>
                <c:pt idx="5">
                  <c:v>5.157894736842105</c:v>
                </c:pt>
                <c:pt idx="6">
                  <c:v>6.888888888888889</c:v>
                </c:pt>
                <c:pt idx="7">
                  <c:v>6.894736842105263</c:v>
                </c:pt>
                <c:pt idx="8">
                  <c:v>5</c:v>
                </c:pt>
                <c:pt idx="9">
                  <c:v>5.7368421052631575</c:v>
                </c:pt>
                <c:pt idx="10">
                  <c:v>5.7894736842105265</c:v>
                </c:pt>
                <c:pt idx="11">
                  <c:v>3.6666666666666665</c:v>
                </c:pt>
                <c:pt idx="12">
                  <c:v>5.631578947368421</c:v>
                </c:pt>
                <c:pt idx="13">
                  <c:v>6.473684210526316</c:v>
                </c:pt>
                <c:pt idx="14">
                  <c:v>7.052631578947368</c:v>
                </c:pt>
                <c:pt idx="15">
                  <c:v>6.947368421052632</c:v>
                </c:pt>
                <c:pt idx="16">
                  <c:v>6.2105263157894735</c:v>
                </c:pt>
                <c:pt idx="17">
                  <c:v>5.894736842105263</c:v>
                </c:pt>
                <c:pt idx="18">
                  <c:v>5.578947368421052</c:v>
                </c:pt>
                <c:pt idx="19">
                  <c:v>5.473684210526316</c:v>
                </c:pt>
                <c:pt idx="20">
                  <c:v>6.368421052631579</c:v>
                </c:pt>
                <c:pt idx="21">
                  <c:v>5.684210526315789</c:v>
                </c:pt>
                <c:pt idx="22">
                  <c:v>3.473684210526316</c:v>
                </c:pt>
                <c:pt idx="23">
                  <c:v>6.157894736842105</c:v>
                </c:pt>
              </c:numCache>
            </c:numRef>
          </c:val>
        </c:ser>
        <c:ser>
          <c:idx val="0"/>
          <c:order val="1"/>
          <c:tx>
            <c:v>2-е полугодие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'377_Сводная_вед'!$B$4:$B$27</c:f>
              <c:strCache>
                <c:ptCount val="24"/>
                <c:pt idx="0">
                  <c:v>Банцевич Вероника</c:v>
                </c:pt>
                <c:pt idx="1">
                  <c:v>Бобнис Каролина</c:v>
                </c:pt>
                <c:pt idx="2">
                  <c:v>Витукевич Карина</c:v>
                </c:pt>
                <c:pt idx="3">
                  <c:v>Журба Валерия</c:v>
                </c:pt>
                <c:pt idx="4">
                  <c:v>Иванч Ксения</c:v>
                </c:pt>
                <c:pt idx="5">
                  <c:v>Кивачук Елена</c:v>
                </c:pt>
                <c:pt idx="6">
                  <c:v>Клепацкий Андрей</c:v>
                </c:pt>
                <c:pt idx="7">
                  <c:v>Козлова Ангелина</c:v>
                </c:pt>
                <c:pt idx="8">
                  <c:v>Коледа Татьяна</c:v>
                </c:pt>
                <c:pt idx="9">
                  <c:v>Куликова Александра</c:v>
                </c:pt>
                <c:pt idx="10">
                  <c:v>Миклис Ксения</c:v>
                </c:pt>
                <c:pt idx="11">
                  <c:v>Орловская Мария</c:v>
                </c:pt>
                <c:pt idx="12">
                  <c:v>Пархоменко Русалина</c:v>
                </c:pt>
                <c:pt idx="13">
                  <c:v>Парчевская Екатерина</c:v>
                </c:pt>
                <c:pt idx="14">
                  <c:v>Пекша Роман</c:v>
                </c:pt>
                <c:pt idx="15">
                  <c:v>Полубояринова Ангелина</c:v>
                </c:pt>
                <c:pt idx="16">
                  <c:v>Санкевич Виктория</c:v>
                </c:pt>
                <c:pt idx="17">
                  <c:v>Сушко Маргарита</c:v>
                </c:pt>
                <c:pt idx="18">
                  <c:v>Тубилевич Яна</c:v>
                </c:pt>
                <c:pt idx="19">
                  <c:v>Унгур Анна</c:v>
                </c:pt>
                <c:pt idx="20">
                  <c:v>Ушакова Маргарита</c:v>
                </c:pt>
                <c:pt idx="21">
                  <c:v>Ушко Яна</c:v>
                </c:pt>
                <c:pt idx="22">
                  <c:v>Цуба Николай</c:v>
                </c:pt>
                <c:pt idx="23">
                  <c:v>Чернель Полина</c:v>
                </c:pt>
              </c:strCache>
            </c:strRef>
          </c:cat>
          <c:val>
            <c:numRef>
              <c:f>'377_Сводная_вед'!$CI$4:$CI$27</c:f>
              <c:numCache>
                <c:ptCount val="24"/>
                <c:pt idx="0">
                  <c:v>4.222222222222222</c:v>
                </c:pt>
                <c:pt idx="1">
                  <c:v>7.529411764705882</c:v>
                </c:pt>
                <c:pt idx="2">
                  <c:v>5.333333333333333</c:v>
                </c:pt>
                <c:pt idx="3">
                  <c:v>4</c:v>
                </c:pt>
                <c:pt idx="4">
                  <c:v>5.411764705882353</c:v>
                </c:pt>
                <c:pt idx="5">
                  <c:v>5.666666666666667</c:v>
                </c:pt>
                <c:pt idx="6">
                  <c:v>6.352941176470588</c:v>
                </c:pt>
                <c:pt idx="7">
                  <c:v>5.722222222222222</c:v>
                </c:pt>
                <c:pt idx="8">
                  <c:v>4.833333333333333</c:v>
                </c:pt>
                <c:pt idx="9">
                  <c:v>5.944444444444445</c:v>
                </c:pt>
                <c:pt idx="10">
                  <c:v>5.611111111111111</c:v>
                </c:pt>
                <c:pt idx="11">
                  <c:v>3</c:v>
                </c:pt>
                <c:pt idx="12">
                  <c:v>5.055555555555555</c:v>
                </c:pt>
                <c:pt idx="13">
                  <c:v>6.333333333333333</c:v>
                </c:pt>
                <c:pt idx="14">
                  <c:v>7</c:v>
                </c:pt>
                <c:pt idx="15">
                  <c:v>6.888888888888889</c:v>
                </c:pt>
                <c:pt idx="16">
                  <c:v>5.777777777777778</c:v>
                </c:pt>
                <c:pt idx="17">
                  <c:v>5.5</c:v>
                </c:pt>
                <c:pt idx="18">
                  <c:v>6</c:v>
                </c:pt>
                <c:pt idx="19">
                  <c:v>4.888888888888889</c:v>
                </c:pt>
                <c:pt idx="20">
                  <c:v>5.722222222222222</c:v>
                </c:pt>
                <c:pt idx="21">
                  <c:v>5.777777777777778</c:v>
                </c:pt>
                <c:pt idx="22">
                  <c:v>3.611111111111111</c:v>
                </c:pt>
                <c:pt idx="23">
                  <c:v>6.222222222222222</c:v>
                </c:pt>
              </c:numCache>
            </c:numRef>
          </c:val>
        </c:ser>
        <c:ser>
          <c:idx val="2"/>
          <c:order val="2"/>
          <c:tx>
            <c:v>Год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'377_Сводная_вед'!$B$4:$B$27</c:f>
              <c:strCache>
                <c:ptCount val="24"/>
                <c:pt idx="0">
                  <c:v>Банцевич Вероника</c:v>
                </c:pt>
                <c:pt idx="1">
                  <c:v>Бобнис Каролина</c:v>
                </c:pt>
                <c:pt idx="2">
                  <c:v>Витукевич Карина</c:v>
                </c:pt>
                <c:pt idx="3">
                  <c:v>Журба Валерия</c:v>
                </c:pt>
                <c:pt idx="4">
                  <c:v>Иванч Ксения</c:v>
                </c:pt>
                <c:pt idx="5">
                  <c:v>Кивачук Елена</c:v>
                </c:pt>
                <c:pt idx="6">
                  <c:v>Клепацкий Андрей</c:v>
                </c:pt>
                <c:pt idx="7">
                  <c:v>Козлова Ангелина</c:v>
                </c:pt>
                <c:pt idx="8">
                  <c:v>Коледа Татьяна</c:v>
                </c:pt>
                <c:pt idx="9">
                  <c:v>Куликова Александра</c:v>
                </c:pt>
                <c:pt idx="10">
                  <c:v>Миклис Ксения</c:v>
                </c:pt>
                <c:pt idx="11">
                  <c:v>Орловская Мария</c:v>
                </c:pt>
                <c:pt idx="12">
                  <c:v>Пархоменко Русалина</c:v>
                </c:pt>
                <c:pt idx="13">
                  <c:v>Парчевская Екатерина</c:v>
                </c:pt>
                <c:pt idx="14">
                  <c:v>Пекша Роман</c:v>
                </c:pt>
                <c:pt idx="15">
                  <c:v>Полубояринова Ангелина</c:v>
                </c:pt>
                <c:pt idx="16">
                  <c:v>Санкевич Виктория</c:v>
                </c:pt>
                <c:pt idx="17">
                  <c:v>Сушко Маргарита</c:v>
                </c:pt>
                <c:pt idx="18">
                  <c:v>Тубилевич Яна</c:v>
                </c:pt>
                <c:pt idx="19">
                  <c:v>Унгур Анна</c:v>
                </c:pt>
                <c:pt idx="20">
                  <c:v>Ушакова Маргарита</c:v>
                </c:pt>
                <c:pt idx="21">
                  <c:v>Ушко Яна</c:v>
                </c:pt>
                <c:pt idx="22">
                  <c:v>Цуба Николай</c:v>
                </c:pt>
                <c:pt idx="23">
                  <c:v>Чернель Полина</c:v>
                </c:pt>
              </c:strCache>
            </c:strRef>
          </c:cat>
          <c:val>
            <c:numRef>
              <c:f>'377_Сводная_вед'!$CJ$4:$CJ$27</c:f>
              <c:numCache>
                <c:ptCount val="24"/>
                <c:pt idx="0">
                  <c:v>4.454545454545454</c:v>
                </c:pt>
                <c:pt idx="1">
                  <c:v>7.619047619047619</c:v>
                </c:pt>
                <c:pt idx="2">
                  <c:v>5.318181818181818</c:v>
                </c:pt>
                <c:pt idx="3">
                  <c:v>4.295454545454546</c:v>
                </c:pt>
                <c:pt idx="4">
                  <c:v>5.309523809523809</c:v>
                </c:pt>
                <c:pt idx="5">
                  <c:v>5.318181818181818</c:v>
                </c:pt>
                <c:pt idx="6">
                  <c:v>6.5476190476190474</c:v>
                </c:pt>
                <c:pt idx="7">
                  <c:v>6.340909090909091</c:v>
                </c:pt>
                <c:pt idx="8">
                  <c:v>4.886363636363637</c:v>
                </c:pt>
                <c:pt idx="9">
                  <c:v>5.818181818181818</c:v>
                </c:pt>
                <c:pt idx="10">
                  <c:v>5.704545454545454</c:v>
                </c:pt>
                <c:pt idx="11">
                  <c:v>3.272727272727273</c:v>
                </c:pt>
                <c:pt idx="12">
                  <c:v>5.363636363636363</c:v>
                </c:pt>
                <c:pt idx="13">
                  <c:v>6.318181818181818</c:v>
                </c:pt>
                <c:pt idx="14">
                  <c:v>6.954545454545454</c:v>
                </c:pt>
                <c:pt idx="15">
                  <c:v>6.886363636363637</c:v>
                </c:pt>
                <c:pt idx="16">
                  <c:v>5.931818181818182</c:v>
                </c:pt>
                <c:pt idx="17">
                  <c:v>5.795454545454546</c:v>
                </c:pt>
                <c:pt idx="18">
                  <c:v>5.7727272727272725</c:v>
                </c:pt>
                <c:pt idx="19">
                  <c:v>5.340909090909091</c:v>
                </c:pt>
                <c:pt idx="20">
                  <c:v>6.068181818181818</c:v>
                </c:pt>
                <c:pt idx="21">
                  <c:v>5.7727272727272725</c:v>
                </c:pt>
                <c:pt idx="22">
                  <c:v>3.659090909090909</c:v>
                </c:pt>
                <c:pt idx="23">
                  <c:v>6.204545454545454</c:v>
                </c:pt>
              </c:numCache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5217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15"/>
          <c:y val="0.002"/>
          <c:w val="0.39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-0.3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13"/>
          <c:w val="0.982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Отчет!$D$45:$H$53</c:f>
              <c:multiLvlStrCache>
                <c:ptCount val="9"/>
                <c:lvl>
                  <c:pt idx="0">
                    <c:v>Ушко Вадим</c:v>
                  </c:pt>
                  <c:pt idx="1">
                    <c:v>Санюк Антон</c:v>
                  </c:pt>
                  <c:pt idx="2">
                    <c:v>Бранцевич Александр</c:v>
                  </c:pt>
                  <c:pt idx="3">
                    <c:v>Бранцевич Александр</c:v>
                  </c:pt>
                  <c:pt idx="4">
                    <c:v>Полубояринова Ангелина</c:v>
                  </c:pt>
                  <c:pt idx="5">
                    <c:v>Пекша Роман</c:v>
                  </c:pt>
                  <c:pt idx="6">
                    <c:v>Минин Александр</c:v>
                  </c:pt>
                  <c:pt idx="7">
                    <c:v>Курносов Павел</c:v>
                  </c:pt>
                  <c:pt idx="8">
                    <c:v>Литвинко Яна</c:v>
                  </c:pt>
                </c:lvl>
                <c:lvl>
                  <c:pt idx="0">
                    <c:v>375 Физика</c:v>
                  </c:pt>
                  <c:pt idx="1">
                    <c:v>375 Астрономия</c:v>
                  </c:pt>
                  <c:pt idx="2">
                    <c:v>376 Физика</c:v>
                  </c:pt>
                  <c:pt idx="3">
                    <c:v>376 Астрономия</c:v>
                  </c:pt>
                  <c:pt idx="4">
                    <c:v>377 Физика</c:v>
                  </c:pt>
                  <c:pt idx="5">
                    <c:v>377 Астрономия</c:v>
                  </c:pt>
                  <c:pt idx="6">
                    <c:v>378 Физика</c:v>
                  </c:pt>
                  <c:pt idx="7">
                    <c:v>379 Физика</c:v>
                  </c:pt>
                  <c:pt idx="8">
                    <c:v>380 Физика</c:v>
                  </c:pt>
                </c:lvl>
              </c:multiLvlStrCache>
            </c:multiLvlStrRef>
          </c:cat>
          <c:val>
            <c:numRef>
              <c:f>Отчет!$C$45:$C$53</c:f>
              <c:numCache>
                <c:ptCount val="9"/>
                <c:pt idx="0">
                  <c:v>7.25</c:v>
                </c:pt>
                <c:pt idx="1">
                  <c:v>7</c:v>
                </c:pt>
                <c:pt idx="2">
                  <c:v>8.5</c:v>
                </c:pt>
                <c:pt idx="3">
                  <c:v>9.833333333333334</c:v>
                </c:pt>
                <c:pt idx="4">
                  <c:v>7.75</c:v>
                </c:pt>
                <c:pt idx="5">
                  <c:v>7.714285714285714</c:v>
                </c:pt>
                <c:pt idx="6">
                  <c:v>7.25</c:v>
                </c:pt>
                <c:pt idx="7">
                  <c:v>5.75</c:v>
                </c:pt>
                <c:pt idx="8">
                  <c:v>9.5</c:v>
                </c:pt>
              </c:numCache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4390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3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95"/>
          <c:w val="0.978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Отчет!$K$45:$N$53</c:f>
              <c:multiLvlStrCache>
                <c:ptCount val="9"/>
                <c:lvl>
                  <c:pt idx="0">
                    <c:v>Поварго Никита</c:v>
                  </c:pt>
                  <c:pt idx="1">
                    <c:v>Поварго Никита</c:v>
                  </c:pt>
                  <c:pt idx="2">
                    <c:v>Соболевский Евгений</c:v>
                  </c:pt>
                  <c:pt idx="3">
                    <c:v>Борис Матвей</c:v>
                  </c:pt>
                  <c:pt idx="4">
                    <c:v>Орловская Мария</c:v>
                  </c:pt>
                  <c:pt idx="5">
                    <c:v>Банцевич Вероника</c:v>
                  </c:pt>
                  <c:pt idx="6">
                    <c:v>Курносов Александр</c:v>
                  </c:pt>
                  <c:pt idx="7">
                    <c:v>Пищик Роман</c:v>
                  </c:pt>
                  <c:pt idx="8">
                    <c:v>Свидерская Ольга</c:v>
                  </c:pt>
                </c:lvl>
                <c:lvl>
                  <c:pt idx="0">
                    <c:v>375 Физика</c:v>
                  </c:pt>
                  <c:pt idx="1">
                    <c:v>375 Астрономия</c:v>
                  </c:pt>
                  <c:pt idx="2">
                    <c:v>376 Физика</c:v>
                  </c:pt>
                  <c:pt idx="3">
                    <c:v>376 Астрономия</c:v>
                  </c:pt>
                  <c:pt idx="4">
                    <c:v>377 Физика</c:v>
                  </c:pt>
                  <c:pt idx="5">
                    <c:v>377 Астрономия</c:v>
                  </c:pt>
                  <c:pt idx="6">
                    <c:v>378 Физика</c:v>
                  </c:pt>
                  <c:pt idx="7">
                    <c:v>379 Физика</c:v>
                  </c:pt>
                  <c:pt idx="8">
                    <c:v>380 Физика</c:v>
                  </c:pt>
                </c:lvl>
              </c:multiLvlStrCache>
            </c:multiLvlStrRef>
          </c:cat>
          <c:val>
            <c:numRef>
              <c:f>Отчет!$J$45:$J$53</c:f>
              <c:numCache>
                <c:ptCount val="9"/>
                <c:pt idx="0">
                  <c:v>3</c:v>
                </c:pt>
                <c:pt idx="1">
                  <c:v>3.1666666666666665</c:v>
                </c:pt>
                <c:pt idx="2">
                  <c:v>3.5</c:v>
                </c:pt>
                <c:pt idx="3">
                  <c:v>2.6666666666666665</c:v>
                </c:pt>
                <c:pt idx="4">
                  <c:v>1</c:v>
                </c:pt>
                <c:pt idx="5">
                  <c:v>2.6</c:v>
                </c:pt>
                <c:pt idx="6">
                  <c:v>2.7142857142857144</c:v>
                </c:pt>
                <c:pt idx="7">
                  <c:v>1.7142857142857142</c:v>
                </c:pt>
                <c:pt idx="8">
                  <c:v>1.75</c:v>
                </c:pt>
              </c:numCache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2295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по полугодиям</a:t>
            </a:r>
          </a:p>
        </c:rich>
      </c:tx>
      <c:layout>
        <c:manualLayout>
          <c:xMode val="factor"/>
          <c:yMode val="factor"/>
          <c:x val="-0.270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775"/>
          <c:w val="0.988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v>I полугодие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(Отчет!$A$11,Отчет!$A$14,Отчет!$A$17,Отчет!$A$20,Отчет!$A$23,Отчет!$A$26,Отчет!$A$29,Отчет!$A$32,Отчет!$A$35)</c:f>
              <c:strCache>
                <c:ptCount val="9"/>
                <c:pt idx="0">
                  <c:v>375 Физика</c:v>
                </c:pt>
                <c:pt idx="1">
                  <c:v>375 Астрономия</c:v>
                </c:pt>
                <c:pt idx="2">
                  <c:v>376 Физика</c:v>
                </c:pt>
                <c:pt idx="3">
                  <c:v>376 Астрономия</c:v>
                </c:pt>
                <c:pt idx="4">
                  <c:v>377 Физика</c:v>
                </c:pt>
                <c:pt idx="5">
                  <c:v>377 Астрономия</c:v>
                </c:pt>
                <c:pt idx="6">
                  <c:v>378 Физика</c:v>
                </c:pt>
                <c:pt idx="7">
                  <c:v>379 Физика</c:v>
                </c:pt>
                <c:pt idx="8">
                  <c:v>380 Физика</c:v>
                </c:pt>
              </c:strCache>
            </c:strRef>
          </c:cat>
          <c:val>
            <c:numRef>
              <c:f>(Отчет!$O$12,Отчет!$O$15,Отчет!$O$18,Отчет!$O$21,Отчет!$O$24,Отчет!$O$27,Отчет!$O$30,Отчет!$O$33,Отчет!$O$36)</c:f>
              <c:numCache>
                <c:ptCount val="9"/>
                <c:pt idx="0">
                  <c:v>5.545454545454546</c:v>
                </c:pt>
                <c:pt idx="1">
                  <c:v>6.2727272727272725</c:v>
                </c:pt>
                <c:pt idx="2">
                  <c:v>5.375</c:v>
                </c:pt>
                <c:pt idx="3">
                  <c:v>5.708333333333333</c:v>
                </c:pt>
                <c:pt idx="4">
                  <c:v>6.375</c:v>
                </c:pt>
                <c:pt idx="5">
                  <c:v>6.416666666666667</c:v>
                </c:pt>
                <c:pt idx="6">
                  <c:v>5.074074074074074</c:v>
                </c:pt>
                <c:pt idx="7">
                  <c:v>4.230769230769231</c:v>
                </c:pt>
                <c:pt idx="8">
                  <c:v>5.8076923076923075</c:v>
                </c:pt>
              </c:numCache>
            </c:numRef>
          </c:val>
        </c:ser>
        <c:ser>
          <c:idx val="1"/>
          <c:order val="1"/>
          <c:tx>
            <c:v>II полугодие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(Отчет!$A$11,Отчет!$A$14,Отчет!$A$17,Отчет!$A$20,Отчет!$A$23,Отчет!$A$26,Отчет!$A$29,Отчет!$A$32,Отчет!$A$35)</c:f>
              <c:strCache>
                <c:ptCount val="9"/>
                <c:pt idx="0">
                  <c:v>375 Физика</c:v>
                </c:pt>
                <c:pt idx="1">
                  <c:v>375 Астрономия</c:v>
                </c:pt>
                <c:pt idx="2">
                  <c:v>376 Физика</c:v>
                </c:pt>
                <c:pt idx="3">
                  <c:v>376 Астрономия</c:v>
                </c:pt>
                <c:pt idx="4">
                  <c:v>377 Физика</c:v>
                </c:pt>
                <c:pt idx="5">
                  <c:v>377 Астрономия</c:v>
                </c:pt>
                <c:pt idx="6">
                  <c:v>378 Физика</c:v>
                </c:pt>
                <c:pt idx="7">
                  <c:v>379 Физика</c:v>
                </c:pt>
                <c:pt idx="8">
                  <c:v>380 Физика</c:v>
                </c:pt>
              </c:strCache>
            </c:strRef>
          </c:cat>
          <c:val>
            <c:numRef>
              <c:f>(Отчет!$O$13,Отчет!$O$16,Отчет!$O$19,Отчет!$O$22,Отчет!$O$25,Отчет!$O$28,Отчет!$O$31,Отчет!$O$34,Отчет!$O$37)</c:f>
              <c:numCache>
                <c:ptCount val="9"/>
                <c:pt idx="0">
                  <c:v>6.090909090909091</c:v>
                </c:pt>
                <c:pt idx="1">
                  <c:v>6.045454545454546</c:v>
                </c:pt>
                <c:pt idx="2">
                  <c:v>5.666666666666667</c:v>
                </c:pt>
                <c:pt idx="3">
                  <c:v>5.25</c:v>
                </c:pt>
                <c:pt idx="4">
                  <c:v>6</c:v>
                </c:pt>
                <c:pt idx="5">
                  <c:v>6.041666666666667</c:v>
                </c:pt>
                <c:pt idx="6">
                  <c:v>5.37037037037037</c:v>
                </c:pt>
                <c:pt idx="7">
                  <c:v>3.6153846153846154</c:v>
                </c:pt>
                <c:pt idx="8">
                  <c:v>6.423076923076923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9304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(6-10) в группах по полугодиям</a:t>
            </a:r>
          </a:p>
        </c:rich>
      </c:tx>
      <c:layout>
        <c:manualLayout>
          <c:xMode val="factor"/>
          <c:yMode val="factor"/>
          <c:x val="-0.2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725"/>
          <c:w val="0.979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(Отчет!$A$11,Отчет!$A$14,Отчет!$A$17,Отчет!$A$20,Отчет!$A$23,Отчет!$A$26,Отчет!$A$29,Отчет!$A$32,Отчет!$A$35)</c:f>
              <c:strCache>
                <c:ptCount val="9"/>
                <c:pt idx="0">
                  <c:v>375 Физика</c:v>
                </c:pt>
                <c:pt idx="1">
                  <c:v>375 Астрономия</c:v>
                </c:pt>
                <c:pt idx="2">
                  <c:v>376 Физика</c:v>
                </c:pt>
                <c:pt idx="3">
                  <c:v>376 Астрономия</c:v>
                </c:pt>
                <c:pt idx="4">
                  <c:v>377 Физика</c:v>
                </c:pt>
                <c:pt idx="5">
                  <c:v>377 Астрономия</c:v>
                </c:pt>
                <c:pt idx="6">
                  <c:v>378 Физика</c:v>
                </c:pt>
                <c:pt idx="7">
                  <c:v>379 Физика</c:v>
                </c:pt>
                <c:pt idx="8">
                  <c:v>380 Физика</c:v>
                </c:pt>
              </c:strCache>
            </c:strRef>
          </c:cat>
          <c:val>
            <c:numRef>
              <c:f>(Отчет!$Q$12,Отчет!$Q$15,Отчет!$Q$18,Отчет!$Q$21,Отчет!$Q$24,Отчет!$Q$27,Отчет!$Q$30,Отчет!$Q$33,Отчет!$Q$36)</c:f>
              <c:numCache>
                <c:ptCount val="9"/>
                <c:pt idx="0">
                  <c:v>0.5909090909090909</c:v>
                </c:pt>
                <c:pt idx="1">
                  <c:v>0.6818181818181818</c:v>
                </c:pt>
                <c:pt idx="2">
                  <c:v>0.5</c:v>
                </c:pt>
                <c:pt idx="3">
                  <c:v>0.5833333333333334</c:v>
                </c:pt>
                <c:pt idx="4">
                  <c:v>0.75</c:v>
                </c:pt>
                <c:pt idx="5">
                  <c:v>0.7083333333333334</c:v>
                </c:pt>
                <c:pt idx="6">
                  <c:v>0.37037037037037035</c:v>
                </c:pt>
                <c:pt idx="7">
                  <c:v>0.19230769230769232</c:v>
                </c:pt>
                <c:pt idx="8">
                  <c:v>0.7307692307692307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(Отчет!$A$11,Отчет!$A$14,Отчет!$A$17,Отчет!$A$20,Отчет!$A$23,Отчет!$A$26,Отчет!$A$29,Отчет!$A$32,Отчет!$A$35)</c:f>
              <c:strCache>
                <c:ptCount val="9"/>
                <c:pt idx="0">
                  <c:v>375 Физика</c:v>
                </c:pt>
                <c:pt idx="1">
                  <c:v>375 Астрономия</c:v>
                </c:pt>
                <c:pt idx="2">
                  <c:v>376 Физика</c:v>
                </c:pt>
                <c:pt idx="3">
                  <c:v>376 Астрономия</c:v>
                </c:pt>
                <c:pt idx="4">
                  <c:v>377 Физика</c:v>
                </c:pt>
                <c:pt idx="5">
                  <c:v>377 Астрономия</c:v>
                </c:pt>
                <c:pt idx="6">
                  <c:v>378 Физика</c:v>
                </c:pt>
                <c:pt idx="7">
                  <c:v>379 Физика</c:v>
                </c:pt>
                <c:pt idx="8">
                  <c:v>380 Физика</c:v>
                </c:pt>
              </c:strCache>
            </c:strRef>
          </c:cat>
          <c:val>
            <c:numRef>
              <c:f>(Отчет!$Q$13,Отчет!$Q$16,Отчет!$Q$19,Отчет!$Q$22,Отчет!$Q$25,Отчет!$Q$28,Отчет!$Q$31,Отчет!$Q$34,Отчет!$Q$37)</c:f>
              <c:numCache>
                <c:ptCount val="9"/>
                <c:pt idx="0">
                  <c:v>0.6818181818181818</c:v>
                </c:pt>
                <c:pt idx="1">
                  <c:v>0.7272727272727273</c:v>
                </c:pt>
                <c:pt idx="2">
                  <c:v>0.5</c:v>
                </c:pt>
                <c:pt idx="3">
                  <c:v>0.4583333333333333</c:v>
                </c:pt>
                <c:pt idx="4">
                  <c:v>0.6666666666666666</c:v>
                </c:pt>
                <c:pt idx="5">
                  <c:v>0.7083333333333334</c:v>
                </c:pt>
                <c:pt idx="6">
                  <c:v>0.5555555555555556</c:v>
                </c:pt>
                <c:pt idx="7">
                  <c:v>0.07692307692307693</c:v>
                </c:pt>
                <c:pt idx="8">
                  <c:v>0.7307692307692307</c:v>
                </c:pt>
              </c:numCache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45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по полугодиям</a:t>
            </a:r>
          </a:p>
        </c:rich>
      </c:tx>
      <c:layout>
        <c:manualLayout>
          <c:xMode val="factor"/>
          <c:yMode val="factor"/>
          <c:x val="-0.1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25"/>
          <c:w val="0.979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Отчет!$C$9:$M$9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Отчет!$C$38:$M$38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44</c:v>
                </c:pt>
                <c:pt idx="4">
                  <c:v>62</c:v>
                </c:pt>
                <c:pt idx="5">
                  <c:v>47</c:v>
                </c:pt>
                <c:pt idx="6">
                  <c:v>29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Отчет!$C$9:$M$9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Отчет!$C$39:$M$39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14</c:v>
                </c:pt>
                <c:pt idx="3">
                  <c:v>49</c:v>
                </c:pt>
                <c:pt idx="4">
                  <c:v>55</c:v>
                </c:pt>
                <c:pt idx="5">
                  <c:v>42</c:v>
                </c:pt>
                <c:pt idx="6">
                  <c:v>26</c:v>
                </c:pt>
                <c:pt idx="7">
                  <c:v>23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314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340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55"/>
          <c:y val="0.33475"/>
          <c:w val="0.2845"/>
          <c:h val="0.43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Отчет!$A$44:$A$48</c:f>
              <c:strCache>
                <c:ptCount val="5"/>
                <c:pt idx="0">
                  <c:v>Отлично (9-10)</c:v>
                </c:pt>
                <c:pt idx="1">
                  <c:v>Хорошо (6-8)</c:v>
                </c:pt>
                <c:pt idx="2">
                  <c:v>Удовл. (3-6)</c:v>
                </c:pt>
                <c:pt idx="3">
                  <c:v>Неудовл. (0-2)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Отчет!$B$44:$B$48</c:f>
              <c:numCache>
                <c:ptCount val="5"/>
                <c:pt idx="0">
                  <c:v>5</c:v>
                </c:pt>
                <c:pt idx="1">
                  <c:v>118</c:v>
                </c:pt>
                <c:pt idx="2">
                  <c:v>91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375"/>
          <c:y val="0.14825"/>
          <c:w val="0.993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Среднее_по_полугодиям!$B$44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Среднее_по_полугодиям!$A$45:$A$66</c:f>
              <c:strCache/>
            </c:strRef>
          </c:cat>
          <c:val>
            <c:numRef>
              <c:f>Среднее_по_полугодиям!$B$45:$B$66</c:f>
              <c:numCache/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7455"/>
        <c:crossesAt val="4"/>
        <c:auto val="1"/>
        <c:lblOffset val="100"/>
        <c:tickLblSkip val="1"/>
        <c:noMultiLvlLbl val="0"/>
      </c:catAx>
      <c:valAx>
        <c:axId val="2838745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70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275"/>
          <c:y val="0.09075"/>
          <c:w val="0.997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Среднее_по_полугодиям!$C$44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Среднее_по_полугодиям!$A$45:$A$66</c:f>
              <c:strCache/>
            </c:strRef>
          </c:cat>
          <c:val>
            <c:numRef>
              <c:f>Среднее_по_полугодиям!$C$45:$C$66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5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225"/>
          <c:w val="0.96875"/>
          <c:h val="0.91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'375_Астрономия'!$C$3:$C$24</c:f>
              <c:strCache/>
            </c:strRef>
          </c:cat>
          <c:val>
            <c:numRef>
              <c:f>'375_Астрономия'!$K$3:$K$24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'375_Астрономия'!$C$3:$C$24</c:f>
              <c:strCache/>
            </c:strRef>
          </c:cat>
          <c:val>
            <c:numRef>
              <c:f>'375_Астрономия'!$T$3:$T$24</c:f>
              <c:numCache/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973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3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225"/>
          <c:w val="0.9687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'376_Физика'!$C$3:$C$26</c:f>
              <c:strCache/>
            </c:strRef>
          </c:cat>
          <c:val>
            <c:numRef>
              <c:f>'376_Физика'!$J$3:$J$26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'376_Физика'!$C$3:$C$26</c:f>
              <c:strCache/>
            </c:strRef>
          </c:cat>
          <c:val>
            <c:numRef>
              <c:f>'376_Физика'!$Q$3:$Q$26</c:f>
              <c:numCache/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8154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5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225"/>
          <c:w val="0.9697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'376_Астрономия'!$C$3:$C$26</c:f>
              <c:strCache/>
            </c:strRef>
          </c:cat>
          <c:val>
            <c:numRef>
              <c:f>'376_Астрономия'!$L$3:$L$26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'376_Астрономия'!$C$3:$C$26</c:f>
              <c:strCache/>
            </c:strRef>
          </c:cat>
          <c:val>
            <c:numRef>
              <c:f>'376_Астрономия'!$T$3:$T$26</c:f>
              <c:numCache/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130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3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4675"/>
          <c:w val="0.96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'377_Физика'!$C$3:$C$26</c:f>
              <c:strCache/>
            </c:strRef>
          </c:cat>
          <c:val>
            <c:numRef>
              <c:f>'377_Физика'!$J$3:$J$26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'377_Физика'!$C$3:$C$26</c:f>
              <c:strCache/>
            </c:strRef>
          </c:cat>
          <c:val>
            <c:numRef>
              <c:f>'377_Физика'!$Q$3:$Q$26</c:f>
              <c:numCache/>
            </c:numRef>
          </c:val>
        </c:ser>
        <c:axId val="4314560"/>
        <c:axId val="38831041"/>
      </c:bar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56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5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4675"/>
          <c:w val="0.968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'377_Астрономия'!$C$3:$C$26</c:f>
              <c:strCache/>
            </c:strRef>
          </c:cat>
          <c:val>
            <c:numRef>
              <c:f>'377_Астрономия'!$M$3:$M$26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'377_Астрономия'!$C$3:$C$26</c:f>
              <c:strCache/>
            </c:strRef>
          </c:cat>
          <c:val>
            <c:numRef>
              <c:f>'377_Астрономия'!$V$3:$V$26</c:f>
              <c:numCache/>
            </c:numRef>
          </c:val>
        </c:ser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505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8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725"/>
          <c:w val="0.96675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'378_Физика'!$C$3:$C$29</c:f>
              <c:strCache/>
            </c:strRef>
          </c:cat>
          <c:val>
            <c:numRef>
              <c:f>'378_Физика'!$O$3:$O$29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'378_Физика'!$C$3:$C$29</c:f>
              <c:strCache/>
            </c:strRef>
          </c:cat>
          <c:val>
            <c:numRef>
              <c:f>'378_Физика'!$AG$3:$AG$29</c:f>
              <c:numCache/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23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8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4675"/>
          <c:w val="0.969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'379_Физика'!$C$3:$C$28</c:f>
              <c:strCache/>
            </c:strRef>
          </c:cat>
          <c:val>
            <c:numRef>
              <c:f>'379_Физика'!$P$3:$P$28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'379_Физика'!$C$3:$C$28</c:f>
              <c:strCache/>
            </c:strRef>
          </c:cat>
          <c:val>
            <c:numRef>
              <c:f>'379_Физика'!$AH$3:$AH$28</c:f>
              <c:numCache/>
            </c:numRef>
          </c:val>
        </c:ser>
        <c:axId val="25591102"/>
        <c:axId val="28993327"/>
      </c:bar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110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279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4725"/>
          <c:w val="0.97075"/>
          <c:h val="0.93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'380_Физика'!$C$3:$C$28</c:f>
              <c:strCache/>
            </c:strRef>
          </c:cat>
          <c:val>
            <c:numRef>
              <c:f>'380_Физика'!$Q$3:$Q$28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'380_Физика'!$C$3:$C$28</c:f>
              <c:strCache/>
            </c:strRef>
          </c:cat>
          <c:val>
            <c:numRef>
              <c:f>'380_Физика'!$AE$3:$AE$28</c:f>
              <c:numCache/>
            </c:numRef>
          </c:val>
        </c:ser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335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57150</xdr:rowOff>
    </xdr:from>
    <xdr:to>
      <xdr:col>19</xdr:col>
      <xdr:colOff>695325</xdr:colOff>
      <xdr:row>63</xdr:row>
      <xdr:rowOff>152400</xdr:rowOff>
    </xdr:to>
    <xdr:graphicFrame>
      <xdr:nvGraphicFramePr>
        <xdr:cNvPr id="1" name="Диаграмма 52"/>
        <xdr:cNvGraphicFramePr/>
      </xdr:nvGraphicFramePr>
      <xdr:xfrm>
        <a:off x="228600" y="5038725"/>
        <a:ext cx="100965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19050</xdr:colOff>
      <xdr:row>22</xdr:row>
      <xdr:rowOff>47625</xdr:rowOff>
    </xdr:to>
    <xdr:graphicFrame>
      <xdr:nvGraphicFramePr>
        <xdr:cNvPr id="1" name="Диаграмма 61"/>
        <xdr:cNvGraphicFramePr/>
      </xdr:nvGraphicFramePr>
      <xdr:xfrm>
        <a:off x="28575" y="209550"/>
        <a:ext cx="125349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0</xdr:colOff>
      <xdr:row>41</xdr:row>
      <xdr:rowOff>57150</xdr:rowOff>
    </xdr:to>
    <xdr:graphicFrame>
      <xdr:nvGraphicFramePr>
        <xdr:cNvPr id="2" name="Диаграмма 62"/>
        <xdr:cNvGraphicFramePr/>
      </xdr:nvGraphicFramePr>
      <xdr:xfrm>
        <a:off x="28575" y="3743325"/>
        <a:ext cx="125158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57150</xdr:rowOff>
    </xdr:from>
    <xdr:to>
      <xdr:col>20</xdr:col>
      <xdr:colOff>695325</xdr:colOff>
      <xdr:row>63</xdr:row>
      <xdr:rowOff>152400</xdr:rowOff>
    </xdr:to>
    <xdr:graphicFrame>
      <xdr:nvGraphicFramePr>
        <xdr:cNvPr id="1" name="Диаграмма 53"/>
        <xdr:cNvGraphicFramePr/>
      </xdr:nvGraphicFramePr>
      <xdr:xfrm>
        <a:off x="228600" y="5038725"/>
        <a:ext cx="106775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57150</xdr:rowOff>
    </xdr:from>
    <xdr:to>
      <xdr:col>17</xdr:col>
      <xdr:colOff>695325</xdr:colOff>
      <xdr:row>65</xdr:row>
      <xdr:rowOff>152400</xdr:rowOff>
    </xdr:to>
    <xdr:graphicFrame>
      <xdr:nvGraphicFramePr>
        <xdr:cNvPr id="1" name="Диаграмма 54"/>
        <xdr:cNvGraphicFramePr/>
      </xdr:nvGraphicFramePr>
      <xdr:xfrm>
        <a:off x="228600" y="5362575"/>
        <a:ext cx="9372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57150</xdr:rowOff>
    </xdr:from>
    <xdr:to>
      <xdr:col>20</xdr:col>
      <xdr:colOff>695325</xdr:colOff>
      <xdr:row>65</xdr:row>
      <xdr:rowOff>152400</xdr:rowOff>
    </xdr:to>
    <xdr:graphicFrame>
      <xdr:nvGraphicFramePr>
        <xdr:cNvPr id="1" name="Диаграмма 55"/>
        <xdr:cNvGraphicFramePr/>
      </xdr:nvGraphicFramePr>
      <xdr:xfrm>
        <a:off x="228600" y="5362575"/>
        <a:ext cx="1062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57150</xdr:rowOff>
    </xdr:from>
    <xdr:to>
      <xdr:col>17</xdr:col>
      <xdr:colOff>695325</xdr:colOff>
      <xdr:row>65</xdr:row>
      <xdr:rowOff>152400</xdr:rowOff>
    </xdr:to>
    <xdr:graphicFrame>
      <xdr:nvGraphicFramePr>
        <xdr:cNvPr id="1" name="Диаграмма 56"/>
        <xdr:cNvGraphicFramePr/>
      </xdr:nvGraphicFramePr>
      <xdr:xfrm>
        <a:off x="228600" y="5362575"/>
        <a:ext cx="93059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57150</xdr:rowOff>
    </xdr:from>
    <xdr:to>
      <xdr:col>22</xdr:col>
      <xdr:colOff>695325</xdr:colOff>
      <xdr:row>65</xdr:row>
      <xdr:rowOff>152400</xdr:rowOff>
    </xdr:to>
    <xdr:graphicFrame>
      <xdr:nvGraphicFramePr>
        <xdr:cNvPr id="1" name="Диаграмма 57"/>
        <xdr:cNvGraphicFramePr/>
      </xdr:nvGraphicFramePr>
      <xdr:xfrm>
        <a:off x="228600" y="5362575"/>
        <a:ext cx="11677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57150</xdr:rowOff>
    </xdr:from>
    <xdr:to>
      <xdr:col>33</xdr:col>
      <xdr:colOff>695325</xdr:colOff>
      <xdr:row>68</xdr:row>
      <xdr:rowOff>152400</xdr:rowOff>
    </xdr:to>
    <xdr:graphicFrame>
      <xdr:nvGraphicFramePr>
        <xdr:cNvPr id="1" name="Диаграмма 51"/>
        <xdr:cNvGraphicFramePr/>
      </xdr:nvGraphicFramePr>
      <xdr:xfrm>
        <a:off x="228600" y="5857875"/>
        <a:ext cx="16297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57150</xdr:rowOff>
    </xdr:from>
    <xdr:to>
      <xdr:col>34</xdr:col>
      <xdr:colOff>695325</xdr:colOff>
      <xdr:row>67</xdr:row>
      <xdr:rowOff>152400</xdr:rowOff>
    </xdr:to>
    <xdr:graphicFrame>
      <xdr:nvGraphicFramePr>
        <xdr:cNvPr id="1" name="Диаграмма 58"/>
        <xdr:cNvGraphicFramePr/>
      </xdr:nvGraphicFramePr>
      <xdr:xfrm>
        <a:off x="228600" y="5695950"/>
        <a:ext cx="16402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57150</xdr:rowOff>
    </xdr:from>
    <xdr:to>
      <xdr:col>31</xdr:col>
      <xdr:colOff>695325</xdr:colOff>
      <xdr:row>67</xdr:row>
      <xdr:rowOff>152400</xdr:rowOff>
    </xdr:to>
    <xdr:graphicFrame>
      <xdr:nvGraphicFramePr>
        <xdr:cNvPr id="1" name="Диаграмма 59"/>
        <xdr:cNvGraphicFramePr/>
      </xdr:nvGraphicFramePr>
      <xdr:xfrm>
        <a:off x="228600" y="5686425"/>
        <a:ext cx="153066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19" sqref="C19"/>
    </sheetView>
  </sheetViews>
  <sheetFormatPr defaultColWidth="9.00390625" defaultRowHeight="12.75"/>
  <cols>
    <col min="1" max="1" width="10.25390625" style="0" hidden="1" customWidth="1"/>
    <col min="2" max="2" width="3.00390625" style="0" bestFit="1" customWidth="1"/>
    <col min="3" max="3" width="23.25390625" style="0" customWidth="1"/>
    <col min="4" max="4" width="5.00390625" style="0" customWidth="1"/>
    <col min="5" max="5" width="5.875" style="0" customWidth="1"/>
    <col min="6" max="7" width="5.625" style="0" customWidth="1"/>
    <col min="8" max="10" width="5.375" style="0" customWidth="1"/>
    <col min="11" max="11" width="9.875" style="3" customWidth="1"/>
    <col min="12" max="12" width="9.125" style="125" customWidth="1"/>
    <col min="13" max="17" width="5.375" style="0" customWidth="1"/>
    <col min="18" max="18" width="6.125" style="0" customWidth="1"/>
    <col min="19" max="19" width="9.875" style="3" customWidth="1"/>
    <col min="20" max="21" width="9.125" style="125" customWidth="1"/>
  </cols>
  <sheetData>
    <row r="1" spans="4:42" ht="16.5" thickBot="1">
      <c r="D1" s="200"/>
      <c r="E1" s="200"/>
      <c r="F1" s="200"/>
      <c r="G1" s="200"/>
      <c r="H1" s="221" t="s">
        <v>223</v>
      </c>
      <c r="I1" s="199"/>
      <c r="J1" s="199"/>
      <c r="K1" s="24"/>
      <c r="L1" s="123"/>
      <c r="M1" s="199"/>
      <c r="N1" s="65"/>
      <c r="O1" s="65"/>
      <c r="P1" s="65"/>
      <c r="Q1" s="65"/>
      <c r="R1" s="65"/>
      <c r="S1" s="24"/>
      <c r="T1" s="123"/>
      <c r="U1" s="12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25"/>
      <c r="AL1" s="26"/>
      <c r="AO1" s="6"/>
      <c r="AP1" s="7"/>
    </row>
    <row r="2" spans="2:38" ht="16.5" customHeight="1" thickBot="1">
      <c r="B2" s="27" t="s">
        <v>47</v>
      </c>
      <c r="C2" s="29" t="s">
        <v>23</v>
      </c>
      <c r="D2" s="33"/>
      <c r="E2" s="62">
        <v>44104</v>
      </c>
      <c r="F2" s="62">
        <v>44138</v>
      </c>
      <c r="G2" s="34">
        <v>44146</v>
      </c>
      <c r="H2" s="33"/>
      <c r="I2" s="62">
        <v>44174</v>
      </c>
      <c r="J2" s="34">
        <v>44176</v>
      </c>
      <c r="K2" s="134" t="s">
        <v>21</v>
      </c>
      <c r="L2" s="263" t="s">
        <v>81</v>
      </c>
      <c r="M2" s="140">
        <v>44228</v>
      </c>
      <c r="N2" s="251">
        <v>44235</v>
      </c>
      <c r="O2" s="73"/>
      <c r="P2" s="260"/>
      <c r="Q2" s="140">
        <v>44334</v>
      </c>
      <c r="R2" s="64">
        <v>44335</v>
      </c>
      <c r="S2" s="262" t="s">
        <v>21</v>
      </c>
      <c r="T2" s="124" t="s">
        <v>305</v>
      </c>
      <c r="U2" s="181" t="s">
        <v>314</v>
      </c>
      <c r="AE2" s="13"/>
      <c r="AF2" s="13"/>
      <c r="AG2" s="13"/>
      <c r="AH2" s="13"/>
      <c r="AI2" s="13"/>
      <c r="AJ2" s="13"/>
      <c r="AK2" s="13"/>
      <c r="AL2" s="13"/>
    </row>
    <row r="3" spans="1:24" ht="12.75">
      <c r="A3" s="3">
        <f>S3</f>
        <v>4.6</v>
      </c>
      <c r="B3" s="2">
        <v>1</v>
      </c>
      <c r="C3" s="204" t="s">
        <v>234</v>
      </c>
      <c r="D3" s="39"/>
      <c r="E3" s="165">
        <v>6</v>
      </c>
      <c r="F3" s="165">
        <v>2</v>
      </c>
      <c r="G3" s="237">
        <v>2</v>
      </c>
      <c r="H3" s="233"/>
      <c r="I3" s="154">
        <v>4</v>
      </c>
      <c r="J3" s="147">
        <v>4</v>
      </c>
      <c r="K3" s="267">
        <f>AVERAGE(D3:J3)</f>
        <v>3.6</v>
      </c>
      <c r="L3" s="182">
        <f aca="true" t="shared" si="0" ref="L3:L24">ROUND(K3,0)</f>
        <v>4</v>
      </c>
      <c r="M3" s="71">
        <v>8</v>
      </c>
      <c r="N3" s="70">
        <v>6</v>
      </c>
      <c r="O3" s="55">
        <v>1</v>
      </c>
      <c r="P3" s="61"/>
      <c r="Q3" s="71">
        <v>6</v>
      </c>
      <c r="R3" s="147">
        <v>2</v>
      </c>
      <c r="S3" s="268">
        <f aca="true" t="shared" si="1" ref="S3:S24">AVERAGE(M3:R3)</f>
        <v>4.6</v>
      </c>
      <c r="T3" s="183">
        <f aca="true" t="shared" si="2" ref="T3:T24">ROUND(S3,0)</f>
        <v>5</v>
      </c>
      <c r="U3" s="183">
        <f aca="true" t="shared" si="3" ref="U3:U24">AVERAGE(L3,T3)</f>
        <v>4.5</v>
      </c>
      <c r="V3" s="1" t="s">
        <v>27</v>
      </c>
      <c r="W3" s="1">
        <f>COUNTIF(T3:T24,"&gt;8")</f>
        <v>0</v>
      </c>
      <c r="X3" s="17">
        <f>W3/$B$24</f>
        <v>0</v>
      </c>
    </row>
    <row r="4" spans="1:24" ht="12.75">
      <c r="A4" s="3">
        <f aca="true" t="shared" si="4" ref="A4:A24">S4</f>
        <v>6.5</v>
      </c>
      <c r="B4" s="2">
        <v>2</v>
      </c>
      <c r="C4" s="204" t="s">
        <v>238</v>
      </c>
      <c r="D4" s="38"/>
      <c r="E4" s="135">
        <v>8</v>
      </c>
      <c r="F4" s="5">
        <v>3</v>
      </c>
      <c r="G4" s="37">
        <v>4</v>
      </c>
      <c r="H4" s="83">
        <v>9</v>
      </c>
      <c r="I4" s="85">
        <v>9</v>
      </c>
      <c r="J4" s="41">
        <v>7</v>
      </c>
      <c r="K4" s="268">
        <f aca="true" t="shared" si="5" ref="K4:K24">AVERAGE(D4:J4)</f>
        <v>6.666666666666667</v>
      </c>
      <c r="L4" s="183">
        <f t="shared" si="0"/>
        <v>7</v>
      </c>
      <c r="M4" s="135">
        <v>9</v>
      </c>
      <c r="N4" s="45">
        <v>6</v>
      </c>
      <c r="O4" s="36"/>
      <c r="P4" s="49"/>
      <c r="Q4" s="135">
        <v>6</v>
      </c>
      <c r="R4" s="146">
        <v>5</v>
      </c>
      <c r="S4" s="268">
        <f t="shared" si="1"/>
        <v>6.5</v>
      </c>
      <c r="T4" s="183">
        <f t="shared" si="2"/>
        <v>7</v>
      </c>
      <c r="U4" s="183">
        <f t="shared" si="3"/>
        <v>7</v>
      </c>
      <c r="V4" s="1" t="s">
        <v>28</v>
      </c>
      <c r="W4" s="18">
        <f>COUNTIF(T3:T24,7)+COUNTIF(T3:T24,8)+COUNTIF(T3:T24,6)</f>
        <v>15</v>
      </c>
      <c r="X4" s="17">
        <f>W4/$B$24</f>
        <v>0.6818181818181818</v>
      </c>
    </row>
    <row r="5" spans="1:24" ht="12.75">
      <c r="A5" s="3">
        <f t="shared" si="4"/>
        <v>6.5</v>
      </c>
      <c r="B5" s="2">
        <v>3</v>
      </c>
      <c r="C5" s="204" t="s">
        <v>243</v>
      </c>
      <c r="D5" s="38"/>
      <c r="E5" s="135">
        <v>5</v>
      </c>
      <c r="F5" s="5">
        <v>5</v>
      </c>
      <c r="G5" s="37">
        <v>4</v>
      </c>
      <c r="H5" s="83">
        <v>9</v>
      </c>
      <c r="I5" s="85">
        <v>9</v>
      </c>
      <c r="J5" s="41">
        <v>6</v>
      </c>
      <c r="K5" s="268">
        <f t="shared" si="5"/>
        <v>6.333333333333333</v>
      </c>
      <c r="L5" s="183">
        <v>7</v>
      </c>
      <c r="M5" s="135">
        <v>6</v>
      </c>
      <c r="N5" s="45">
        <v>7</v>
      </c>
      <c r="O5" s="36">
        <v>8</v>
      </c>
      <c r="P5" s="49">
        <v>7</v>
      </c>
      <c r="Q5" s="31">
        <v>7</v>
      </c>
      <c r="R5" s="146">
        <v>4</v>
      </c>
      <c r="S5" s="268">
        <f t="shared" si="1"/>
        <v>6.5</v>
      </c>
      <c r="T5" s="183">
        <f t="shared" si="2"/>
        <v>7</v>
      </c>
      <c r="U5" s="183">
        <f t="shared" si="3"/>
        <v>7</v>
      </c>
      <c r="V5" s="1" t="s">
        <v>29</v>
      </c>
      <c r="W5" s="18">
        <f>COUNTIF(T3:T24,3)+COUNTIF(T3:T24,4)+COUNTIF(T3:T24,5)</f>
        <v>7</v>
      </c>
      <c r="X5" s="17">
        <f>W5/$B$24</f>
        <v>0.3181818181818182</v>
      </c>
    </row>
    <row r="6" spans="1:24" ht="12.75">
      <c r="A6" s="3">
        <f t="shared" si="4"/>
        <v>6.833333333333333</v>
      </c>
      <c r="B6" s="2">
        <v>4</v>
      </c>
      <c r="C6" s="204" t="s">
        <v>227</v>
      </c>
      <c r="D6" s="38">
        <v>9</v>
      </c>
      <c r="E6" s="135">
        <v>8</v>
      </c>
      <c r="F6" s="5">
        <v>4</v>
      </c>
      <c r="G6" s="37">
        <v>4</v>
      </c>
      <c r="H6" s="36">
        <v>9</v>
      </c>
      <c r="I6" s="31">
        <v>9</v>
      </c>
      <c r="J6" s="41">
        <v>6</v>
      </c>
      <c r="K6" s="268">
        <f t="shared" si="5"/>
        <v>7</v>
      </c>
      <c r="L6" s="183">
        <f t="shared" si="0"/>
        <v>7</v>
      </c>
      <c r="M6" s="135">
        <v>7</v>
      </c>
      <c r="N6" s="45">
        <v>6</v>
      </c>
      <c r="O6" s="36">
        <v>8</v>
      </c>
      <c r="P6" s="49">
        <v>7</v>
      </c>
      <c r="Q6" s="31">
        <v>7</v>
      </c>
      <c r="R6" s="41">
        <v>6</v>
      </c>
      <c r="S6" s="268">
        <f t="shared" si="1"/>
        <v>6.833333333333333</v>
      </c>
      <c r="T6" s="183">
        <f t="shared" si="2"/>
        <v>7</v>
      </c>
      <c r="U6" s="183">
        <f t="shared" si="3"/>
        <v>7</v>
      </c>
      <c r="V6" s="1" t="s">
        <v>30</v>
      </c>
      <c r="W6" s="1">
        <f>COUNTIF(T3:T24,"&lt;3")</f>
        <v>0</v>
      </c>
      <c r="X6" s="17">
        <f>W6/$B$24</f>
        <v>0</v>
      </c>
    </row>
    <row r="7" spans="1:24" ht="12.75">
      <c r="A7" s="3">
        <f t="shared" si="4"/>
        <v>5.5</v>
      </c>
      <c r="B7" s="2">
        <v>5</v>
      </c>
      <c r="C7" s="204" t="s">
        <v>230</v>
      </c>
      <c r="D7" s="38">
        <v>2</v>
      </c>
      <c r="E7" s="135">
        <v>2</v>
      </c>
      <c r="F7" s="5">
        <v>5</v>
      </c>
      <c r="G7" s="37">
        <v>4</v>
      </c>
      <c r="H7" s="36"/>
      <c r="I7" s="31">
        <v>6</v>
      </c>
      <c r="J7" s="41">
        <v>6</v>
      </c>
      <c r="K7" s="268">
        <f t="shared" si="5"/>
        <v>4.166666666666667</v>
      </c>
      <c r="L7" s="183">
        <f t="shared" si="0"/>
        <v>4</v>
      </c>
      <c r="M7" s="31">
        <v>9</v>
      </c>
      <c r="N7" s="45">
        <v>4</v>
      </c>
      <c r="O7" s="36"/>
      <c r="P7" s="49"/>
      <c r="Q7" s="31">
        <v>6</v>
      </c>
      <c r="R7" s="41">
        <v>3</v>
      </c>
      <c r="S7" s="268">
        <f t="shared" si="1"/>
        <v>5.5</v>
      </c>
      <c r="T7" s="183">
        <f t="shared" si="2"/>
        <v>6</v>
      </c>
      <c r="U7" s="183">
        <f t="shared" si="3"/>
        <v>5</v>
      </c>
      <c r="V7" s="19" t="s">
        <v>31</v>
      </c>
      <c r="W7" s="1">
        <f>B24-SUM(W3:W6)</f>
        <v>0</v>
      </c>
      <c r="X7" s="17">
        <f>W7/$B$24</f>
        <v>0</v>
      </c>
    </row>
    <row r="8" spans="1:21" ht="12.75">
      <c r="A8" s="3">
        <f t="shared" si="4"/>
        <v>6</v>
      </c>
      <c r="B8" s="2">
        <v>6</v>
      </c>
      <c r="C8" s="204" t="s">
        <v>229</v>
      </c>
      <c r="D8" s="38"/>
      <c r="E8" s="135">
        <v>6</v>
      </c>
      <c r="F8" s="5">
        <v>5</v>
      </c>
      <c r="G8" s="146">
        <v>5</v>
      </c>
      <c r="H8" s="83">
        <v>9</v>
      </c>
      <c r="I8" s="85">
        <v>9</v>
      </c>
      <c r="J8" s="41">
        <v>5</v>
      </c>
      <c r="K8" s="268">
        <f t="shared" si="5"/>
        <v>6.5</v>
      </c>
      <c r="L8" s="183">
        <f t="shared" si="0"/>
        <v>7</v>
      </c>
      <c r="M8" s="31">
        <v>8</v>
      </c>
      <c r="N8" s="45">
        <v>6</v>
      </c>
      <c r="O8" s="36"/>
      <c r="P8" s="49"/>
      <c r="Q8" s="31">
        <v>6</v>
      </c>
      <c r="R8" s="41">
        <v>4</v>
      </c>
      <c r="S8" s="268">
        <f t="shared" si="1"/>
        <v>6</v>
      </c>
      <c r="T8" s="183">
        <f t="shared" si="2"/>
        <v>6</v>
      </c>
      <c r="U8" s="183">
        <f t="shared" si="3"/>
        <v>6.5</v>
      </c>
    </row>
    <row r="9" spans="1:21" ht="12.75">
      <c r="A9" s="3">
        <f t="shared" si="4"/>
        <v>5</v>
      </c>
      <c r="B9" s="2">
        <v>7</v>
      </c>
      <c r="C9" s="204" t="s">
        <v>237</v>
      </c>
      <c r="D9" s="38"/>
      <c r="E9" s="135">
        <v>7</v>
      </c>
      <c r="F9" s="5">
        <v>3</v>
      </c>
      <c r="G9" s="37">
        <v>3</v>
      </c>
      <c r="H9" s="83"/>
      <c r="I9" s="85">
        <v>9</v>
      </c>
      <c r="J9" s="41">
        <v>7</v>
      </c>
      <c r="K9" s="268">
        <f t="shared" si="5"/>
        <v>5.8</v>
      </c>
      <c r="L9" s="183">
        <f t="shared" si="0"/>
        <v>6</v>
      </c>
      <c r="M9" s="31">
        <v>8</v>
      </c>
      <c r="N9" s="45">
        <v>6</v>
      </c>
      <c r="O9" s="36"/>
      <c r="P9" s="49">
        <v>1</v>
      </c>
      <c r="Q9" s="31">
        <v>6</v>
      </c>
      <c r="R9" s="41">
        <v>4</v>
      </c>
      <c r="S9" s="268">
        <f t="shared" si="1"/>
        <v>5</v>
      </c>
      <c r="T9" s="183">
        <f t="shared" si="2"/>
        <v>5</v>
      </c>
      <c r="U9" s="183">
        <f t="shared" si="3"/>
        <v>5.5</v>
      </c>
    </row>
    <row r="10" spans="1:21" ht="12.75">
      <c r="A10" s="3">
        <f t="shared" si="4"/>
        <v>6.6</v>
      </c>
      <c r="B10" s="2">
        <v>8</v>
      </c>
      <c r="C10" s="204" t="s">
        <v>231</v>
      </c>
      <c r="D10" s="38"/>
      <c r="E10" s="135">
        <v>7</v>
      </c>
      <c r="F10" s="5">
        <v>4</v>
      </c>
      <c r="G10" s="146">
        <v>3</v>
      </c>
      <c r="H10" s="36"/>
      <c r="I10" s="31">
        <v>9</v>
      </c>
      <c r="J10" s="41">
        <v>6</v>
      </c>
      <c r="K10" s="268">
        <f t="shared" si="5"/>
        <v>5.8</v>
      </c>
      <c r="L10" s="183">
        <f t="shared" si="0"/>
        <v>6</v>
      </c>
      <c r="M10" s="31">
        <v>9</v>
      </c>
      <c r="N10" s="45">
        <v>6</v>
      </c>
      <c r="O10" s="36">
        <v>7</v>
      </c>
      <c r="P10" s="49"/>
      <c r="Q10" s="31">
        <v>6</v>
      </c>
      <c r="R10" s="41">
        <v>5</v>
      </c>
      <c r="S10" s="268">
        <f t="shared" si="1"/>
        <v>6.6</v>
      </c>
      <c r="T10" s="183">
        <f t="shared" si="2"/>
        <v>7</v>
      </c>
      <c r="U10" s="183">
        <f t="shared" si="3"/>
        <v>6.5</v>
      </c>
    </row>
    <row r="11" spans="1:21" ht="12.75">
      <c r="A11" s="3">
        <f t="shared" si="4"/>
        <v>6.75</v>
      </c>
      <c r="B11" s="2">
        <v>9</v>
      </c>
      <c r="C11" s="204" t="s">
        <v>241</v>
      </c>
      <c r="D11" s="38"/>
      <c r="E11" s="135">
        <v>6</v>
      </c>
      <c r="F11" s="5">
        <v>3</v>
      </c>
      <c r="G11" s="146">
        <v>1</v>
      </c>
      <c r="H11" s="83"/>
      <c r="I11" s="236" t="s">
        <v>74</v>
      </c>
      <c r="J11" s="247" t="s">
        <v>74</v>
      </c>
      <c r="K11" s="268">
        <f t="shared" si="5"/>
        <v>3.3333333333333335</v>
      </c>
      <c r="L11" s="183">
        <f t="shared" si="0"/>
        <v>3</v>
      </c>
      <c r="M11" s="31">
        <v>9</v>
      </c>
      <c r="N11" s="45">
        <v>6</v>
      </c>
      <c r="O11" s="36"/>
      <c r="P11" s="49"/>
      <c r="Q11" s="31">
        <v>7</v>
      </c>
      <c r="R11" s="41">
        <v>5</v>
      </c>
      <c r="S11" s="268">
        <f t="shared" si="1"/>
        <v>6.75</v>
      </c>
      <c r="T11" s="183">
        <f t="shared" si="2"/>
        <v>7</v>
      </c>
      <c r="U11" s="183">
        <f t="shared" si="3"/>
        <v>5</v>
      </c>
    </row>
    <row r="12" spans="1:21" ht="12.75">
      <c r="A12" s="3">
        <f t="shared" si="4"/>
        <v>4.75</v>
      </c>
      <c r="B12" s="2">
        <v>10</v>
      </c>
      <c r="C12" s="204" t="s">
        <v>235</v>
      </c>
      <c r="D12" s="38"/>
      <c r="E12" s="135">
        <v>4</v>
      </c>
      <c r="F12" s="135">
        <v>2</v>
      </c>
      <c r="G12" s="37">
        <v>3</v>
      </c>
      <c r="H12" s="36"/>
      <c r="I12" s="31">
        <v>6</v>
      </c>
      <c r="J12" s="247" t="s">
        <v>74</v>
      </c>
      <c r="K12" s="268">
        <f t="shared" si="5"/>
        <v>3.75</v>
      </c>
      <c r="L12" s="183">
        <f t="shared" si="0"/>
        <v>4</v>
      </c>
      <c r="M12" s="31">
        <v>8</v>
      </c>
      <c r="N12" s="45">
        <v>6</v>
      </c>
      <c r="O12" s="36"/>
      <c r="P12" s="49"/>
      <c r="Q12" s="135">
        <v>1</v>
      </c>
      <c r="R12" s="41">
        <v>4</v>
      </c>
      <c r="S12" s="268">
        <f t="shared" si="1"/>
        <v>4.75</v>
      </c>
      <c r="T12" s="183">
        <f t="shared" si="2"/>
        <v>5</v>
      </c>
      <c r="U12" s="183">
        <f t="shared" si="3"/>
        <v>4.5</v>
      </c>
    </row>
    <row r="13" spans="1:21" ht="12.75">
      <c r="A13" s="3">
        <f t="shared" si="4"/>
        <v>6.5</v>
      </c>
      <c r="B13" s="2">
        <v>11</v>
      </c>
      <c r="C13" s="204" t="s">
        <v>244</v>
      </c>
      <c r="D13" s="38"/>
      <c r="E13" s="135">
        <v>6</v>
      </c>
      <c r="F13" s="5">
        <v>3</v>
      </c>
      <c r="G13" s="146">
        <v>5</v>
      </c>
      <c r="H13" s="83"/>
      <c r="I13" s="85">
        <v>6</v>
      </c>
      <c r="J13" s="41">
        <v>8</v>
      </c>
      <c r="K13" s="268">
        <f t="shared" si="5"/>
        <v>5.6</v>
      </c>
      <c r="L13" s="183">
        <f t="shared" si="0"/>
        <v>6</v>
      </c>
      <c r="M13" s="31">
        <v>8</v>
      </c>
      <c r="N13" s="45">
        <v>7</v>
      </c>
      <c r="O13" s="36"/>
      <c r="P13" s="49"/>
      <c r="Q13" s="31">
        <v>6</v>
      </c>
      <c r="R13" s="41">
        <v>5</v>
      </c>
      <c r="S13" s="268">
        <f t="shared" si="1"/>
        <v>6.5</v>
      </c>
      <c r="T13" s="183">
        <f t="shared" si="2"/>
        <v>7</v>
      </c>
      <c r="U13" s="183">
        <f t="shared" si="3"/>
        <v>6.5</v>
      </c>
    </row>
    <row r="14" spans="1:21" ht="12.75">
      <c r="A14" s="3">
        <f t="shared" si="4"/>
        <v>3</v>
      </c>
      <c r="B14" s="2">
        <v>12</v>
      </c>
      <c r="C14" s="204" t="s">
        <v>242</v>
      </c>
      <c r="D14" s="38"/>
      <c r="E14" s="135">
        <v>1</v>
      </c>
      <c r="F14" s="135">
        <v>5</v>
      </c>
      <c r="G14" s="37">
        <v>3</v>
      </c>
      <c r="H14" s="83"/>
      <c r="I14" s="85">
        <v>5</v>
      </c>
      <c r="J14" s="41">
        <v>3</v>
      </c>
      <c r="K14" s="268">
        <f t="shared" si="5"/>
        <v>3.4</v>
      </c>
      <c r="L14" s="183">
        <f t="shared" si="0"/>
        <v>3</v>
      </c>
      <c r="M14" s="31">
        <v>5</v>
      </c>
      <c r="N14" s="45">
        <v>3</v>
      </c>
      <c r="O14" s="36">
        <v>1</v>
      </c>
      <c r="P14" s="49"/>
      <c r="Q14" s="31">
        <v>5</v>
      </c>
      <c r="R14" s="146">
        <v>1</v>
      </c>
      <c r="S14" s="268">
        <f t="shared" si="1"/>
        <v>3</v>
      </c>
      <c r="T14" s="183">
        <f t="shared" si="2"/>
        <v>3</v>
      </c>
      <c r="U14" s="183">
        <f t="shared" si="3"/>
        <v>3</v>
      </c>
    </row>
    <row r="15" spans="1:21" ht="12.75">
      <c r="A15" s="3">
        <f t="shared" si="4"/>
        <v>5</v>
      </c>
      <c r="B15" s="2">
        <v>13</v>
      </c>
      <c r="C15" s="204" t="s">
        <v>239</v>
      </c>
      <c r="D15" s="38"/>
      <c r="E15" s="135">
        <v>8</v>
      </c>
      <c r="F15" s="5">
        <v>4</v>
      </c>
      <c r="G15" s="146">
        <v>2</v>
      </c>
      <c r="H15" s="36"/>
      <c r="I15" s="85">
        <v>5</v>
      </c>
      <c r="J15" s="146">
        <v>2</v>
      </c>
      <c r="K15" s="268">
        <f t="shared" si="5"/>
        <v>4.2</v>
      </c>
      <c r="L15" s="183">
        <f t="shared" si="0"/>
        <v>4</v>
      </c>
      <c r="M15" s="31">
        <v>5</v>
      </c>
      <c r="N15" s="94">
        <v>6</v>
      </c>
      <c r="O15" s="36"/>
      <c r="P15" s="49"/>
      <c r="Q15" s="252" t="s">
        <v>74</v>
      </c>
      <c r="R15" s="41">
        <v>4</v>
      </c>
      <c r="S15" s="268">
        <f t="shared" si="1"/>
        <v>5</v>
      </c>
      <c r="T15" s="183">
        <f t="shared" si="2"/>
        <v>5</v>
      </c>
      <c r="U15" s="183">
        <f t="shared" si="3"/>
        <v>4.5</v>
      </c>
    </row>
    <row r="16" spans="1:21" ht="12.75">
      <c r="A16" s="3">
        <f t="shared" si="4"/>
        <v>5.5</v>
      </c>
      <c r="B16" s="2">
        <v>14</v>
      </c>
      <c r="C16" s="204" t="s">
        <v>224</v>
      </c>
      <c r="D16" s="38"/>
      <c r="E16" s="135">
        <v>6</v>
      </c>
      <c r="F16" s="5">
        <v>4</v>
      </c>
      <c r="G16" s="146">
        <v>5</v>
      </c>
      <c r="H16" s="83"/>
      <c r="I16" s="85">
        <v>5</v>
      </c>
      <c r="J16" s="41">
        <v>6</v>
      </c>
      <c r="K16" s="268">
        <f t="shared" si="5"/>
        <v>5.2</v>
      </c>
      <c r="L16" s="183">
        <v>6</v>
      </c>
      <c r="M16" s="135">
        <v>4</v>
      </c>
      <c r="N16" s="45">
        <v>6</v>
      </c>
      <c r="O16" s="36"/>
      <c r="P16" s="49"/>
      <c r="Q16" s="31">
        <v>8</v>
      </c>
      <c r="R16" s="41">
        <v>4</v>
      </c>
      <c r="S16" s="268">
        <f t="shared" si="1"/>
        <v>5.5</v>
      </c>
      <c r="T16" s="183">
        <f t="shared" si="2"/>
        <v>6</v>
      </c>
      <c r="U16" s="183">
        <f t="shared" si="3"/>
        <v>6</v>
      </c>
    </row>
    <row r="17" spans="1:21" ht="12.75">
      <c r="A17" s="3">
        <f t="shared" si="4"/>
        <v>6</v>
      </c>
      <c r="B17" s="2">
        <v>15</v>
      </c>
      <c r="C17" s="204" t="s">
        <v>225</v>
      </c>
      <c r="D17" s="38"/>
      <c r="E17" s="135">
        <v>6</v>
      </c>
      <c r="F17" s="5">
        <v>4</v>
      </c>
      <c r="G17" s="146">
        <v>3</v>
      </c>
      <c r="H17" s="83"/>
      <c r="I17" s="236" t="s">
        <v>74</v>
      </c>
      <c r="J17" s="247" t="s">
        <v>74</v>
      </c>
      <c r="K17" s="268">
        <f t="shared" si="5"/>
        <v>4.333333333333333</v>
      </c>
      <c r="L17" s="183">
        <f t="shared" si="0"/>
        <v>4</v>
      </c>
      <c r="M17" s="31">
        <v>7</v>
      </c>
      <c r="N17" s="94">
        <v>4</v>
      </c>
      <c r="O17" s="36">
        <v>7</v>
      </c>
      <c r="P17" s="49"/>
      <c r="Q17" s="31">
        <v>7</v>
      </c>
      <c r="R17" s="41">
        <v>5</v>
      </c>
      <c r="S17" s="268">
        <f t="shared" si="1"/>
        <v>6</v>
      </c>
      <c r="T17" s="183">
        <f t="shared" si="2"/>
        <v>6</v>
      </c>
      <c r="U17" s="183">
        <f t="shared" si="3"/>
        <v>5</v>
      </c>
    </row>
    <row r="18" spans="1:21" ht="12.75">
      <c r="A18" s="3">
        <f t="shared" si="4"/>
        <v>6.5</v>
      </c>
      <c r="B18" s="2">
        <v>16</v>
      </c>
      <c r="C18" s="204" t="s">
        <v>232</v>
      </c>
      <c r="D18" s="38"/>
      <c r="E18" s="135">
        <v>6</v>
      </c>
      <c r="F18" s="135">
        <v>4</v>
      </c>
      <c r="G18" s="37">
        <v>3</v>
      </c>
      <c r="H18" s="83"/>
      <c r="I18" s="85">
        <v>6</v>
      </c>
      <c r="J18" s="41">
        <v>8</v>
      </c>
      <c r="K18" s="268">
        <f t="shared" si="5"/>
        <v>5.4</v>
      </c>
      <c r="L18" s="183">
        <v>6</v>
      </c>
      <c r="M18" s="31">
        <v>8</v>
      </c>
      <c r="N18" s="45">
        <v>7</v>
      </c>
      <c r="O18" s="36"/>
      <c r="P18" s="49"/>
      <c r="Q18" s="31">
        <v>6</v>
      </c>
      <c r="R18" s="41">
        <v>5</v>
      </c>
      <c r="S18" s="268">
        <f t="shared" si="1"/>
        <v>6.5</v>
      </c>
      <c r="T18" s="183">
        <f t="shared" si="2"/>
        <v>7</v>
      </c>
      <c r="U18" s="183">
        <f t="shared" si="3"/>
        <v>6.5</v>
      </c>
    </row>
    <row r="19" spans="1:21" ht="12.75">
      <c r="A19" s="3">
        <f t="shared" si="4"/>
        <v>7</v>
      </c>
      <c r="B19" s="2">
        <v>17</v>
      </c>
      <c r="C19" s="204" t="s">
        <v>228</v>
      </c>
      <c r="D19" s="38"/>
      <c r="E19" s="135">
        <v>8</v>
      </c>
      <c r="F19" s="5">
        <v>5</v>
      </c>
      <c r="G19" s="146">
        <v>6</v>
      </c>
      <c r="H19" s="36"/>
      <c r="I19" s="31">
        <v>9</v>
      </c>
      <c r="J19" s="41">
        <v>8</v>
      </c>
      <c r="K19" s="268">
        <f t="shared" si="5"/>
        <v>7.2</v>
      </c>
      <c r="L19" s="183">
        <v>8</v>
      </c>
      <c r="M19" s="31">
        <v>9</v>
      </c>
      <c r="N19" s="45">
        <v>7</v>
      </c>
      <c r="O19" s="36"/>
      <c r="P19" s="49"/>
      <c r="Q19" s="31">
        <v>6</v>
      </c>
      <c r="R19" s="41">
        <v>6</v>
      </c>
      <c r="S19" s="268">
        <f t="shared" si="1"/>
        <v>7</v>
      </c>
      <c r="T19" s="183">
        <f t="shared" si="2"/>
        <v>7</v>
      </c>
      <c r="U19" s="183">
        <f t="shared" si="3"/>
        <v>7.5</v>
      </c>
    </row>
    <row r="20" spans="1:21" ht="12.75">
      <c r="A20" s="3">
        <f t="shared" si="4"/>
        <v>6</v>
      </c>
      <c r="B20" s="2">
        <v>18</v>
      </c>
      <c r="C20" s="204" t="s">
        <v>245</v>
      </c>
      <c r="D20" s="38"/>
      <c r="E20" s="135">
        <v>8</v>
      </c>
      <c r="F20" s="5">
        <v>4</v>
      </c>
      <c r="G20" s="146">
        <v>3</v>
      </c>
      <c r="H20" s="83"/>
      <c r="I20" s="85">
        <v>9</v>
      </c>
      <c r="J20" s="41">
        <v>8</v>
      </c>
      <c r="K20" s="268">
        <f t="shared" si="5"/>
        <v>6.4</v>
      </c>
      <c r="L20" s="183">
        <v>7</v>
      </c>
      <c r="M20" s="31">
        <v>8</v>
      </c>
      <c r="N20" s="45">
        <v>5</v>
      </c>
      <c r="O20" s="36">
        <v>7</v>
      </c>
      <c r="P20" s="49"/>
      <c r="Q20" s="31">
        <v>6</v>
      </c>
      <c r="R20" s="41">
        <v>4</v>
      </c>
      <c r="S20" s="268">
        <f t="shared" si="1"/>
        <v>6</v>
      </c>
      <c r="T20" s="183">
        <f t="shared" si="2"/>
        <v>6</v>
      </c>
      <c r="U20" s="183">
        <f t="shared" si="3"/>
        <v>6.5</v>
      </c>
    </row>
    <row r="21" spans="1:21" ht="12.75">
      <c r="A21" s="3">
        <f t="shared" si="4"/>
        <v>5.4</v>
      </c>
      <c r="B21" s="2">
        <v>19</v>
      </c>
      <c r="C21" s="204" t="s">
        <v>240</v>
      </c>
      <c r="D21" s="38"/>
      <c r="E21" s="135">
        <v>6</v>
      </c>
      <c r="F21" s="5">
        <v>3</v>
      </c>
      <c r="G21" s="146">
        <v>2</v>
      </c>
      <c r="H21" s="36"/>
      <c r="I21" s="31">
        <v>6</v>
      </c>
      <c r="J21" s="146">
        <v>6</v>
      </c>
      <c r="K21" s="268">
        <f t="shared" si="5"/>
        <v>4.6</v>
      </c>
      <c r="L21" s="183">
        <f t="shared" si="0"/>
        <v>5</v>
      </c>
      <c r="M21" s="31">
        <v>8</v>
      </c>
      <c r="N21" s="45">
        <v>6</v>
      </c>
      <c r="O21" s="36">
        <v>1</v>
      </c>
      <c r="P21" s="49"/>
      <c r="Q21" s="31">
        <v>7</v>
      </c>
      <c r="R21" s="41">
        <v>5</v>
      </c>
      <c r="S21" s="268">
        <f t="shared" si="1"/>
        <v>5.4</v>
      </c>
      <c r="T21" s="183">
        <f t="shared" si="2"/>
        <v>5</v>
      </c>
      <c r="U21" s="183">
        <f t="shared" si="3"/>
        <v>5</v>
      </c>
    </row>
    <row r="22" spans="1:21" ht="12.75">
      <c r="A22" s="3">
        <f t="shared" si="4"/>
        <v>7.25</v>
      </c>
      <c r="B22" s="2">
        <v>20</v>
      </c>
      <c r="C22" s="204" t="s">
        <v>226</v>
      </c>
      <c r="D22" s="38"/>
      <c r="E22" s="135">
        <v>8</v>
      </c>
      <c r="F22" s="31">
        <v>4</v>
      </c>
      <c r="G22" s="146">
        <v>7</v>
      </c>
      <c r="H22" s="36">
        <v>9</v>
      </c>
      <c r="I22" s="31">
        <v>9</v>
      </c>
      <c r="J22" s="41">
        <v>8</v>
      </c>
      <c r="K22" s="268">
        <f t="shared" si="5"/>
        <v>7.5</v>
      </c>
      <c r="L22" s="183">
        <f t="shared" si="0"/>
        <v>8</v>
      </c>
      <c r="M22" s="31">
        <v>8</v>
      </c>
      <c r="N22" s="45">
        <v>8</v>
      </c>
      <c r="O22" s="36"/>
      <c r="P22" s="49"/>
      <c r="Q22" s="31">
        <v>7</v>
      </c>
      <c r="R22" s="41">
        <v>6</v>
      </c>
      <c r="S22" s="268">
        <f t="shared" si="1"/>
        <v>7.25</v>
      </c>
      <c r="T22" s="183">
        <v>8</v>
      </c>
      <c r="U22" s="183">
        <f t="shared" si="3"/>
        <v>8</v>
      </c>
    </row>
    <row r="23" spans="1:21" ht="12.75">
      <c r="A23" s="3">
        <f t="shared" si="4"/>
        <v>6.6</v>
      </c>
      <c r="B23" s="2">
        <v>21</v>
      </c>
      <c r="C23" s="204" t="s">
        <v>233</v>
      </c>
      <c r="D23" s="38"/>
      <c r="E23" s="135">
        <v>7</v>
      </c>
      <c r="F23" s="5">
        <v>4</v>
      </c>
      <c r="G23" s="37">
        <v>3</v>
      </c>
      <c r="H23" s="36"/>
      <c r="I23" s="31">
        <v>9</v>
      </c>
      <c r="J23" s="41">
        <v>7</v>
      </c>
      <c r="K23" s="268">
        <f t="shared" si="5"/>
        <v>6</v>
      </c>
      <c r="L23" s="183">
        <f t="shared" si="0"/>
        <v>6</v>
      </c>
      <c r="M23" s="31">
        <v>9</v>
      </c>
      <c r="N23" s="45">
        <v>5</v>
      </c>
      <c r="O23" s="36">
        <v>7</v>
      </c>
      <c r="P23" s="49"/>
      <c r="Q23" s="31">
        <v>7</v>
      </c>
      <c r="R23" s="146">
        <v>5</v>
      </c>
      <c r="S23" s="268">
        <f t="shared" si="1"/>
        <v>6.6</v>
      </c>
      <c r="T23" s="183">
        <f t="shared" si="2"/>
        <v>7</v>
      </c>
      <c r="U23" s="183">
        <f t="shared" si="3"/>
        <v>6.5</v>
      </c>
    </row>
    <row r="24" spans="1:21" ht="12.75">
      <c r="A24" s="3">
        <f t="shared" si="4"/>
        <v>4.666666666666667</v>
      </c>
      <c r="B24" s="2">
        <v>22</v>
      </c>
      <c r="C24" s="205" t="s">
        <v>236</v>
      </c>
      <c r="D24" s="38"/>
      <c r="E24" s="135">
        <v>4</v>
      </c>
      <c r="F24" s="5">
        <v>4</v>
      </c>
      <c r="G24" s="146">
        <v>3</v>
      </c>
      <c r="H24" s="83"/>
      <c r="I24" s="219">
        <v>6</v>
      </c>
      <c r="J24" s="247" t="s">
        <v>74</v>
      </c>
      <c r="K24" s="268">
        <f t="shared" si="5"/>
        <v>4.25</v>
      </c>
      <c r="L24" s="183">
        <f t="shared" si="0"/>
        <v>4</v>
      </c>
      <c r="M24" s="135">
        <v>1</v>
      </c>
      <c r="N24" s="45">
        <v>6</v>
      </c>
      <c r="O24" s="36">
        <v>4</v>
      </c>
      <c r="P24" s="49">
        <v>6</v>
      </c>
      <c r="Q24" s="31">
        <v>6</v>
      </c>
      <c r="R24" s="41">
        <v>5</v>
      </c>
      <c r="S24" s="268">
        <f t="shared" si="1"/>
        <v>4.666666666666667</v>
      </c>
      <c r="T24" s="183">
        <f t="shared" si="2"/>
        <v>5</v>
      </c>
      <c r="U24" s="183">
        <f t="shared" si="3"/>
        <v>4.5</v>
      </c>
    </row>
    <row r="25" spans="2:21" s="99" customFormat="1" ht="13.5" thickBot="1">
      <c r="B25" s="100"/>
      <c r="C25" s="180" t="s">
        <v>0</v>
      </c>
      <c r="D25" s="127">
        <f aca="true" t="shared" si="6" ref="D25:U25">AVERAGE(D3:D24)</f>
        <v>5.5</v>
      </c>
      <c r="E25" s="103">
        <f t="shared" si="6"/>
        <v>6.045454545454546</v>
      </c>
      <c r="F25" s="103">
        <f t="shared" si="6"/>
        <v>3.8181818181818183</v>
      </c>
      <c r="G25" s="104">
        <f t="shared" si="6"/>
        <v>3.5454545454545454</v>
      </c>
      <c r="H25" s="127">
        <f t="shared" si="6"/>
        <v>9</v>
      </c>
      <c r="I25" s="103">
        <f t="shared" si="6"/>
        <v>7.25</v>
      </c>
      <c r="J25" s="104">
        <f t="shared" si="6"/>
        <v>6.166666666666667</v>
      </c>
      <c r="K25" s="294">
        <f t="shared" si="6"/>
        <v>5.319696969696969</v>
      </c>
      <c r="L25" s="294">
        <f t="shared" si="6"/>
        <v>5.545454545454546</v>
      </c>
      <c r="M25" s="103">
        <f t="shared" si="6"/>
        <v>7.318181818181818</v>
      </c>
      <c r="N25" s="213">
        <f t="shared" si="6"/>
        <v>5.863636363636363</v>
      </c>
      <c r="O25" s="127">
        <f t="shared" si="6"/>
        <v>5.1</v>
      </c>
      <c r="P25" s="102"/>
      <c r="Q25" s="103">
        <f t="shared" si="6"/>
        <v>6.142857142857143</v>
      </c>
      <c r="R25" s="104">
        <f t="shared" si="6"/>
        <v>4.409090909090909</v>
      </c>
      <c r="S25" s="107">
        <f t="shared" si="6"/>
        <v>5.838636363636363</v>
      </c>
      <c r="T25" s="108">
        <f t="shared" si="6"/>
        <v>6.090909090909091</v>
      </c>
      <c r="U25" s="108">
        <f t="shared" si="6"/>
        <v>5.818181818181818</v>
      </c>
    </row>
    <row r="26" spans="2:21" s="99" customFormat="1" ht="13.5" thickBot="1">
      <c r="B26" s="100"/>
      <c r="C26" s="109"/>
      <c r="D26" s="206" t="s">
        <v>197</v>
      </c>
      <c r="E26" s="207" t="s">
        <v>82</v>
      </c>
      <c r="F26" s="110" t="s">
        <v>71</v>
      </c>
      <c r="G26" s="112" t="s">
        <v>215</v>
      </c>
      <c r="H26" s="114" t="s">
        <v>197</v>
      </c>
      <c r="I26" s="112" t="s">
        <v>297</v>
      </c>
      <c r="J26" s="111" t="s">
        <v>273</v>
      </c>
      <c r="K26" s="266"/>
      <c r="L26" s="265"/>
      <c r="M26" s="112" t="s">
        <v>303</v>
      </c>
      <c r="N26" s="110" t="s">
        <v>289</v>
      </c>
      <c r="O26" s="110" t="s">
        <v>197</v>
      </c>
      <c r="P26" s="110" t="s">
        <v>197</v>
      </c>
      <c r="Q26" s="110" t="s">
        <v>301</v>
      </c>
      <c r="R26" s="112" t="s">
        <v>369</v>
      </c>
      <c r="S26" s="116"/>
      <c r="T26" s="117"/>
      <c r="U26" s="257"/>
    </row>
    <row r="27" spans="2:21" s="118" customFormat="1" ht="13.5" thickBot="1">
      <c r="B27" s="100"/>
      <c r="C27" s="119" t="s">
        <v>32</v>
      </c>
      <c r="D27" s="442" t="s">
        <v>221</v>
      </c>
      <c r="E27" s="440"/>
      <c r="F27" s="440"/>
      <c r="G27" s="441"/>
      <c r="H27" s="442" t="s">
        <v>298</v>
      </c>
      <c r="I27" s="440"/>
      <c r="J27" s="441"/>
      <c r="K27" s="120">
        <f>L27/$B$24</f>
        <v>1</v>
      </c>
      <c r="L27" s="264">
        <f>COUNTIF(L3:L24,"&gt;2")</f>
        <v>22</v>
      </c>
      <c r="M27" s="442" t="s">
        <v>362</v>
      </c>
      <c r="N27" s="441"/>
      <c r="O27" s="440" t="s">
        <v>307</v>
      </c>
      <c r="P27" s="440"/>
      <c r="Q27" s="440"/>
      <c r="R27" s="441"/>
      <c r="S27" s="120">
        <f>T27/$B$24</f>
        <v>1</v>
      </c>
      <c r="T27" s="121">
        <f>COUNTIF(T3:T24,"&gt;2")</f>
        <v>22</v>
      </c>
      <c r="U27" s="257"/>
    </row>
    <row r="28" spans="2:21" s="118" customFormat="1" ht="12.75">
      <c r="B28" s="100"/>
      <c r="C28" s="119" t="s">
        <v>319</v>
      </c>
      <c r="D28" s="122"/>
      <c r="E28" s="122"/>
      <c r="F28" s="122"/>
      <c r="G28" s="122"/>
      <c r="H28" s="122"/>
      <c r="I28" s="122"/>
      <c r="J28" s="122"/>
      <c r="K28" s="120">
        <f>L28/$B$24</f>
        <v>0.5909090909090909</v>
      </c>
      <c r="L28" s="121">
        <f>COUNTIF(L3:L24,"&gt;5")</f>
        <v>13</v>
      </c>
      <c r="M28" s="122"/>
      <c r="N28" s="122"/>
      <c r="O28" s="122"/>
      <c r="P28" s="122"/>
      <c r="Q28" s="122"/>
      <c r="R28" s="122"/>
      <c r="S28" s="120">
        <f>T28/$B$24</f>
        <v>0.45454545454545453</v>
      </c>
      <c r="T28" s="121">
        <f>COUNTIF(T3:T24,"&gt;6")</f>
        <v>10</v>
      </c>
      <c r="U28" s="257"/>
    </row>
    <row r="30" ht="12.75">
      <c r="C30" t="s">
        <v>286</v>
      </c>
    </row>
  </sheetData>
  <sheetProtection/>
  <mergeCells count="4">
    <mergeCell ref="O27:R27"/>
    <mergeCell ref="D27:G27"/>
    <mergeCell ref="H27:J27"/>
    <mergeCell ref="M27:N27"/>
  </mergeCells>
  <conditionalFormatting sqref="K3:L24 S3:U24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K25:L25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PageLayoutView="0" workbookViewId="0" topLeftCell="B1">
      <selection activeCell="C8" sqref="C8"/>
    </sheetView>
  </sheetViews>
  <sheetFormatPr defaultColWidth="9.00390625" defaultRowHeight="12.75"/>
  <cols>
    <col min="1" max="1" width="4.25390625" style="0" hidden="1" customWidth="1"/>
    <col min="2" max="2" width="4.375" style="0" customWidth="1"/>
    <col min="3" max="3" width="21.125" style="0" customWidth="1"/>
    <col min="4" max="4" width="7.875" style="0" customWidth="1"/>
    <col min="5" max="5" width="5.875" style="0" customWidth="1"/>
    <col min="6" max="6" width="5.375" style="0" customWidth="1"/>
    <col min="7" max="8" width="5.625" style="0" customWidth="1"/>
    <col min="9" max="17" width="5.375" style="0" customWidth="1"/>
    <col min="18" max="18" width="5.875" style="0" customWidth="1"/>
    <col min="19" max="19" width="6.00390625" style="0" customWidth="1"/>
    <col min="20" max="20" width="9.125" style="212" customWidth="1"/>
    <col min="21" max="21" width="12.125" style="125" bestFit="1" customWidth="1"/>
  </cols>
  <sheetData>
    <row r="1" spans="4:39" ht="16.5" thickBot="1">
      <c r="D1" s="200" t="s">
        <v>291</v>
      </c>
      <c r="E1" s="65"/>
      <c r="F1" s="65"/>
      <c r="G1" s="30"/>
      <c r="H1" s="30"/>
      <c r="I1" s="30"/>
      <c r="J1" s="65"/>
      <c r="K1" s="65"/>
      <c r="L1" s="65"/>
      <c r="M1" s="65"/>
      <c r="N1" s="65"/>
      <c r="O1" s="65"/>
      <c r="P1" s="65"/>
      <c r="Q1" s="65"/>
      <c r="R1" s="65"/>
      <c r="S1" s="65"/>
      <c r="T1" s="209"/>
      <c r="U1" s="12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25"/>
      <c r="AI1" s="26"/>
      <c r="AL1" s="6"/>
      <c r="AM1" s="7"/>
    </row>
    <row r="2" spans="2:35" ht="16.5" customHeight="1" thickBot="1">
      <c r="B2" s="226" t="s">
        <v>47</v>
      </c>
      <c r="C2" s="227" t="s">
        <v>23</v>
      </c>
      <c r="D2" s="76" t="s">
        <v>292</v>
      </c>
      <c r="E2" s="33"/>
      <c r="F2" s="34"/>
      <c r="G2" s="34"/>
      <c r="H2" s="33"/>
      <c r="I2" s="34"/>
      <c r="J2" s="81"/>
      <c r="K2" s="81"/>
      <c r="L2" s="81"/>
      <c r="M2" s="81"/>
      <c r="N2" s="81"/>
      <c r="O2" s="81"/>
      <c r="P2" s="54"/>
      <c r="Q2" s="34"/>
      <c r="R2" s="81"/>
      <c r="S2" s="51"/>
      <c r="T2" s="210" t="s">
        <v>21</v>
      </c>
      <c r="U2" s="124" t="s">
        <v>81</v>
      </c>
      <c r="AB2" s="13"/>
      <c r="AC2" s="13"/>
      <c r="AD2" s="13"/>
      <c r="AE2" s="13"/>
      <c r="AF2" s="13"/>
      <c r="AG2" s="13"/>
      <c r="AH2" s="13"/>
      <c r="AI2" s="13"/>
    </row>
    <row r="3" spans="1:21" ht="12.75">
      <c r="A3" s="3" t="e">
        <f aca="true" t="shared" si="0" ref="A3:A15">T3</f>
        <v>#DIV/0!</v>
      </c>
      <c r="B3" s="2">
        <v>1</v>
      </c>
      <c r="C3" s="2" t="s">
        <v>234</v>
      </c>
      <c r="D3" s="72" t="s">
        <v>293</v>
      </c>
      <c r="E3" s="39"/>
      <c r="F3" s="35"/>
      <c r="G3" s="37"/>
      <c r="H3" s="77"/>
      <c r="I3" s="70"/>
      <c r="J3" s="68"/>
      <c r="K3" s="69"/>
      <c r="L3" s="57"/>
      <c r="M3" s="223"/>
      <c r="N3" s="70"/>
      <c r="O3" s="91"/>
      <c r="P3" s="55"/>
      <c r="Q3" s="57"/>
      <c r="R3" s="75"/>
      <c r="S3" s="68"/>
      <c r="T3" s="211" t="e">
        <f aca="true" t="shared" si="1" ref="T3:T15">AVERAGE(E3:S3)</f>
        <v>#DIV/0!</v>
      </c>
      <c r="U3" s="121" t="e">
        <f aca="true" t="shared" si="2" ref="U3:U15">ROUND(T3,0)</f>
        <v>#DIV/0!</v>
      </c>
    </row>
    <row r="4" spans="1:21" ht="12.75">
      <c r="A4" s="3" t="e">
        <f t="shared" si="0"/>
        <v>#DIV/0!</v>
      </c>
      <c r="B4" s="2">
        <v>2</v>
      </c>
      <c r="C4" s="2" t="s">
        <v>254</v>
      </c>
      <c r="D4" s="58" t="s">
        <v>294</v>
      </c>
      <c r="E4" s="38"/>
      <c r="F4" s="41"/>
      <c r="G4" s="41"/>
      <c r="H4" s="60"/>
      <c r="I4" s="45"/>
      <c r="J4" s="42"/>
      <c r="K4" s="52"/>
      <c r="L4" s="41"/>
      <c r="M4" s="41"/>
      <c r="N4" s="45"/>
      <c r="O4" s="53"/>
      <c r="P4" s="36"/>
      <c r="Q4" s="41"/>
      <c r="R4" s="43"/>
      <c r="S4" s="42"/>
      <c r="T4" s="211" t="e">
        <f t="shared" si="1"/>
        <v>#DIV/0!</v>
      </c>
      <c r="U4" s="121" t="e">
        <f t="shared" si="2"/>
        <v>#DIV/0!</v>
      </c>
    </row>
    <row r="5" spans="1:21" ht="12.75">
      <c r="A5" s="3" t="e">
        <f t="shared" si="0"/>
        <v>#DIV/0!</v>
      </c>
      <c r="B5" s="2">
        <v>3</v>
      </c>
      <c r="C5" s="2" t="s">
        <v>243</v>
      </c>
      <c r="D5" s="58" t="s">
        <v>293</v>
      </c>
      <c r="E5" s="38"/>
      <c r="F5" s="37"/>
      <c r="G5" s="37"/>
      <c r="H5" s="60"/>
      <c r="I5" s="45"/>
      <c r="J5" s="42"/>
      <c r="K5" s="52"/>
      <c r="L5" s="52"/>
      <c r="M5" s="41"/>
      <c r="N5" s="45"/>
      <c r="O5" s="92"/>
      <c r="P5" s="36"/>
      <c r="Q5" s="41"/>
      <c r="R5" s="43"/>
      <c r="S5" s="42"/>
      <c r="T5" s="211" t="e">
        <f t="shared" si="1"/>
        <v>#DIV/0!</v>
      </c>
      <c r="U5" s="121" t="e">
        <f t="shared" si="2"/>
        <v>#DIV/0!</v>
      </c>
    </row>
    <row r="6" spans="1:21" ht="12.75">
      <c r="A6" s="3" t="e">
        <f t="shared" si="0"/>
        <v>#DIV/0!</v>
      </c>
      <c r="B6" s="2">
        <v>4</v>
      </c>
      <c r="C6" s="2" t="s">
        <v>264</v>
      </c>
      <c r="D6" s="58" t="s">
        <v>294</v>
      </c>
      <c r="E6" s="38"/>
      <c r="F6" s="37"/>
      <c r="G6" s="37"/>
      <c r="H6" s="60"/>
      <c r="I6" s="45"/>
      <c r="J6" s="42"/>
      <c r="K6" s="52"/>
      <c r="L6" s="41"/>
      <c r="M6" s="41"/>
      <c r="N6" s="45"/>
      <c r="O6" s="53"/>
      <c r="P6" s="36"/>
      <c r="Q6" s="41"/>
      <c r="R6" s="43"/>
      <c r="S6" s="42"/>
      <c r="T6" s="211" t="e">
        <f t="shared" si="1"/>
        <v>#DIV/0!</v>
      </c>
      <c r="U6" s="121" t="e">
        <f t="shared" si="2"/>
        <v>#DIV/0!</v>
      </c>
    </row>
    <row r="7" spans="1:21" ht="12.75">
      <c r="A7" s="3" t="e">
        <f t="shared" si="0"/>
        <v>#DIV/0!</v>
      </c>
      <c r="B7" s="2">
        <v>5</v>
      </c>
      <c r="C7" s="2" t="s">
        <v>247</v>
      </c>
      <c r="D7" s="58" t="s">
        <v>294</v>
      </c>
      <c r="E7" s="38"/>
      <c r="F7" s="37"/>
      <c r="G7" s="37"/>
      <c r="H7" s="60"/>
      <c r="I7" s="45"/>
      <c r="J7" s="42"/>
      <c r="K7" s="52"/>
      <c r="L7" s="52"/>
      <c r="M7" s="41"/>
      <c r="N7" s="45"/>
      <c r="O7" s="53"/>
      <c r="P7" s="36"/>
      <c r="Q7" s="41"/>
      <c r="R7" s="43"/>
      <c r="S7" s="42"/>
      <c r="T7" s="211" t="e">
        <f t="shared" si="1"/>
        <v>#DIV/0!</v>
      </c>
      <c r="U7" s="121" t="e">
        <f t="shared" si="2"/>
        <v>#DIV/0!</v>
      </c>
    </row>
    <row r="8" spans="1:21" ht="12.75">
      <c r="A8" s="3" t="e">
        <f t="shared" si="0"/>
        <v>#DIV/0!</v>
      </c>
      <c r="B8" s="2">
        <v>6</v>
      </c>
      <c r="C8" s="2" t="s">
        <v>258</v>
      </c>
      <c r="D8" s="58" t="s">
        <v>294</v>
      </c>
      <c r="E8" s="38"/>
      <c r="F8" s="37"/>
      <c r="G8" s="37"/>
      <c r="H8" s="60"/>
      <c r="I8" s="45"/>
      <c r="J8" s="42"/>
      <c r="K8" s="52"/>
      <c r="L8" s="41"/>
      <c r="M8" s="41"/>
      <c r="N8" s="45"/>
      <c r="O8" s="53"/>
      <c r="P8" s="36"/>
      <c r="Q8" s="41"/>
      <c r="R8" s="43"/>
      <c r="S8" s="42"/>
      <c r="T8" s="211" t="e">
        <f t="shared" si="1"/>
        <v>#DIV/0!</v>
      </c>
      <c r="U8" s="121" t="e">
        <f t="shared" si="2"/>
        <v>#DIV/0!</v>
      </c>
    </row>
    <row r="9" spans="1:21" ht="12.75">
      <c r="A9" s="3" t="e">
        <f t="shared" si="0"/>
        <v>#DIV/0!</v>
      </c>
      <c r="B9" s="2">
        <v>7</v>
      </c>
      <c r="C9" s="2" t="s">
        <v>249</v>
      </c>
      <c r="D9" s="58" t="s">
        <v>294</v>
      </c>
      <c r="E9" s="38"/>
      <c r="F9" s="37"/>
      <c r="G9" s="37"/>
      <c r="H9" s="60"/>
      <c r="I9" s="45"/>
      <c r="J9" s="42"/>
      <c r="K9" s="52"/>
      <c r="L9" s="82"/>
      <c r="M9" s="82"/>
      <c r="N9" s="45"/>
      <c r="O9" s="92"/>
      <c r="P9" s="36"/>
      <c r="Q9" s="41"/>
      <c r="R9" s="43"/>
      <c r="S9" s="42"/>
      <c r="T9" s="211" t="e">
        <f t="shared" si="1"/>
        <v>#DIV/0!</v>
      </c>
      <c r="U9" s="121" t="e">
        <f t="shared" si="2"/>
        <v>#DIV/0!</v>
      </c>
    </row>
    <row r="10" spans="1:21" ht="12.75">
      <c r="A10" s="3" t="e">
        <f t="shared" si="0"/>
        <v>#DIV/0!</v>
      </c>
      <c r="B10" s="2">
        <v>8</v>
      </c>
      <c r="C10" s="2" t="s">
        <v>239</v>
      </c>
      <c r="D10" s="58" t="s">
        <v>293</v>
      </c>
      <c r="E10" s="38"/>
      <c r="F10" s="41"/>
      <c r="G10" s="37"/>
      <c r="H10" s="60"/>
      <c r="I10" s="45"/>
      <c r="J10" s="42"/>
      <c r="K10" s="52"/>
      <c r="L10" s="41"/>
      <c r="M10" s="41"/>
      <c r="N10" s="45"/>
      <c r="O10" s="53"/>
      <c r="P10" s="36"/>
      <c r="Q10" s="41"/>
      <c r="R10" s="43"/>
      <c r="S10" s="42"/>
      <c r="T10" s="211" t="e">
        <f t="shared" si="1"/>
        <v>#DIV/0!</v>
      </c>
      <c r="U10" s="121" t="e">
        <f t="shared" si="2"/>
        <v>#DIV/0!</v>
      </c>
    </row>
    <row r="11" spans="1:21" ht="12.75">
      <c r="A11" s="3" t="e">
        <f t="shared" si="0"/>
        <v>#DIV/0!</v>
      </c>
      <c r="B11" s="2">
        <v>9</v>
      </c>
      <c r="C11" s="2" t="s">
        <v>171</v>
      </c>
      <c r="D11" s="58" t="s">
        <v>295</v>
      </c>
      <c r="E11" s="38"/>
      <c r="F11" s="37"/>
      <c r="G11" s="37"/>
      <c r="H11" s="60"/>
      <c r="I11" s="45"/>
      <c r="J11" s="42"/>
      <c r="K11" s="52"/>
      <c r="L11" s="41"/>
      <c r="M11" s="41"/>
      <c r="N11" s="45"/>
      <c r="O11" s="53"/>
      <c r="P11" s="36"/>
      <c r="Q11" s="41"/>
      <c r="R11" s="43"/>
      <c r="S11" s="42"/>
      <c r="T11" s="211" t="e">
        <f t="shared" si="1"/>
        <v>#DIV/0!</v>
      </c>
      <c r="U11" s="121" t="e">
        <f t="shared" si="2"/>
        <v>#DIV/0!</v>
      </c>
    </row>
    <row r="12" spans="1:21" ht="12.75">
      <c r="A12" s="3" t="e">
        <f t="shared" si="0"/>
        <v>#DIV/0!</v>
      </c>
      <c r="B12" s="2">
        <v>10</v>
      </c>
      <c r="C12" s="2" t="s">
        <v>263</v>
      </c>
      <c r="D12" s="58" t="s">
        <v>294</v>
      </c>
      <c r="E12" s="38"/>
      <c r="F12" s="37"/>
      <c r="G12" s="35"/>
      <c r="H12" s="59"/>
      <c r="I12" s="44"/>
      <c r="J12" s="42"/>
      <c r="K12" s="52"/>
      <c r="L12" s="41"/>
      <c r="M12" s="41"/>
      <c r="N12" s="45"/>
      <c r="O12" s="53"/>
      <c r="P12" s="36"/>
      <c r="Q12" s="41"/>
      <c r="R12" s="43"/>
      <c r="S12" s="42"/>
      <c r="T12" s="211" t="e">
        <f t="shared" si="1"/>
        <v>#DIV/0!</v>
      </c>
      <c r="U12" s="121" t="e">
        <f t="shared" si="2"/>
        <v>#DIV/0!</v>
      </c>
    </row>
    <row r="13" spans="1:21" ht="12.75">
      <c r="A13" s="3"/>
      <c r="B13" s="2">
        <v>11</v>
      </c>
      <c r="C13" s="2" t="s">
        <v>175</v>
      </c>
      <c r="D13" s="58" t="s">
        <v>295</v>
      </c>
      <c r="E13" s="38"/>
      <c r="F13" s="37"/>
      <c r="G13" s="35"/>
      <c r="H13" s="59"/>
      <c r="I13" s="44"/>
      <c r="J13" s="42"/>
      <c r="K13" s="52"/>
      <c r="L13" s="41"/>
      <c r="M13" s="41"/>
      <c r="N13" s="45"/>
      <c r="O13" s="53"/>
      <c r="P13" s="36"/>
      <c r="Q13" s="41"/>
      <c r="R13" s="43"/>
      <c r="S13" s="42"/>
      <c r="T13" s="211" t="e">
        <f t="shared" si="1"/>
        <v>#DIV/0!</v>
      </c>
      <c r="U13" s="121" t="e">
        <f t="shared" si="2"/>
        <v>#DIV/0!</v>
      </c>
    </row>
    <row r="14" spans="1:21" ht="12.75">
      <c r="A14" s="3" t="e">
        <f t="shared" si="0"/>
        <v>#DIV/0!</v>
      </c>
      <c r="B14" s="2">
        <v>12</v>
      </c>
      <c r="C14" s="2" t="s">
        <v>246</v>
      </c>
      <c r="D14" s="58" t="s">
        <v>294</v>
      </c>
      <c r="E14" s="38"/>
      <c r="F14" s="37"/>
      <c r="G14" s="35"/>
      <c r="H14" s="59"/>
      <c r="I14" s="44"/>
      <c r="J14" s="42"/>
      <c r="K14" s="52"/>
      <c r="L14" s="41"/>
      <c r="M14" s="41"/>
      <c r="N14" s="45"/>
      <c r="O14" s="53"/>
      <c r="P14" s="36"/>
      <c r="Q14" s="41"/>
      <c r="R14" s="43"/>
      <c r="S14" s="42"/>
      <c r="T14" s="211" t="e">
        <f t="shared" si="1"/>
        <v>#DIV/0!</v>
      </c>
      <c r="U14" s="121" t="e">
        <f t="shared" si="2"/>
        <v>#DIV/0!</v>
      </c>
    </row>
    <row r="15" spans="1:21" ht="12.75">
      <c r="A15" s="3" t="e">
        <f t="shared" si="0"/>
        <v>#DIV/0!</v>
      </c>
      <c r="B15" s="2">
        <v>13</v>
      </c>
      <c r="C15" s="2" t="s">
        <v>233</v>
      </c>
      <c r="D15" s="58" t="s">
        <v>293</v>
      </c>
      <c r="E15" s="38"/>
      <c r="F15" s="37"/>
      <c r="G15" s="35"/>
      <c r="H15" s="59"/>
      <c r="I15" s="44"/>
      <c r="J15" s="42"/>
      <c r="K15" s="52"/>
      <c r="L15" s="41"/>
      <c r="M15" s="41"/>
      <c r="N15" s="45"/>
      <c r="O15" s="53"/>
      <c r="P15" s="36"/>
      <c r="Q15" s="41"/>
      <c r="R15" s="43"/>
      <c r="S15" s="42"/>
      <c r="T15" s="211" t="e">
        <f t="shared" si="1"/>
        <v>#DIV/0!</v>
      </c>
      <c r="U15" s="121" t="e">
        <f t="shared" si="2"/>
        <v>#DIV/0!</v>
      </c>
    </row>
    <row r="16" spans="2:21" s="99" customFormat="1" ht="13.5" thickBot="1">
      <c r="B16" s="100"/>
      <c r="C16" s="448" t="s">
        <v>0</v>
      </c>
      <c r="D16" s="449"/>
      <c r="E16" s="141"/>
      <c r="F16" s="128" t="e">
        <f>AVERAGE(F3:F15)</f>
        <v>#DIV/0!</v>
      </c>
      <c r="G16" s="128" t="e">
        <f>AVERAGE(G3:G15)</f>
        <v>#DIV/0!</v>
      </c>
      <c r="H16" s="106"/>
      <c r="I16" s="213" t="e">
        <f aca="true" t="shared" si="3" ref="I16:O16">AVERAGE(I3:I15)</f>
        <v>#DIV/0!</v>
      </c>
      <c r="J16" s="184" t="e">
        <f t="shared" si="3"/>
        <v>#DIV/0!</v>
      </c>
      <c r="K16" s="214" t="e">
        <f t="shared" si="3"/>
        <v>#DIV/0!</v>
      </c>
      <c r="L16" s="101" t="e">
        <f t="shared" si="3"/>
        <v>#DIV/0!</v>
      </c>
      <c r="M16" s="101" t="e">
        <f t="shared" si="3"/>
        <v>#DIV/0!</v>
      </c>
      <c r="N16" s="101" t="e">
        <f t="shared" si="3"/>
        <v>#DIV/0!</v>
      </c>
      <c r="O16" s="126" t="e">
        <f t="shared" si="3"/>
        <v>#DIV/0!</v>
      </c>
      <c r="P16" s="127"/>
      <c r="Q16" s="104" t="e">
        <f>AVERAGE(Q3:Q15)</f>
        <v>#DIV/0!</v>
      </c>
      <c r="R16" s="215" t="e">
        <f>AVERAGE(R3:R15)</f>
        <v>#DIV/0!</v>
      </c>
      <c r="S16" s="184" t="e">
        <f>AVERAGE(S3:S15)</f>
        <v>#DIV/0!</v>
      </c>
      <c r="T16" s="107" t="e">
        <f>AVERAGE(T3:T15)</f>
        <v>#DIV/0!</v>
      </c>
      <c r="U16" s="108" t="e">
        <f>AVERAGE(U3:U15)</f>
        <v>#DIV/0!</v>
      </c>
    </row>
    <row r="17" spans="2:21" s="99" customFormat="1" ht="13.5" thickBot="1">
      <c r="B17" s="100"/>
      <c r="C17" s="109"/>
      <c r="D17" s="216"/>
      <c r="E17" s="450"/>
      <c r="F17" s="451"/>
      <c r="G17" s="114"/>
      <c r="H17" s="442"/>
      <c r="I17" s="441"/>
      <c r="J17" s="112"/>
      <c r="K17" s="198"/>
      <c r="L17" s="111"/>
      <c r="M17" s="111"/>
      <c r="N17" s="114"/>
      <c r="O17" s="111"/>
      <c r="P17" s="444"/>
      <c r="Q17" s="446"/>
      <c r="R17" s="111"/>
      <c r="S17" s="111"/>
      <c r="T17" s="116"/>
      <c r="U17" s="117"/>
    </row>
    <row r="18" spans="2:21" s="118" customFormat="1" ht="13.5" thickBot="1">
      <c r="B18" s="100"/>
      <c r="C18" s="119" t="s">
        <v>32</v>
      </c>
      <c r="D18" s="217"/>
      <c r="E18" s="442"/>
      <c r="F18" s="440"/>
      <c r="G18" s="440"/>
      <c r="H18" s="440"/>
      <c r="I18" s="440"/>
      <c r="J18" s="440"/>
      <c r="K18" s="440"/>
      <c r="L18" s="440"/>
      <c r="M18" s="441"/>
      <c r="N18" s="440"/>
      <c r="O18" s="441"/>
      <c r="P18" s="442"/>
      <c r="Q18" s="440"/>
      <c r="R18" s="440"/>
      <c r="S18" s="441"/>
      <c r="T18" s="120">
        <f>U18/$B$15</f>
        <v>0</v>
      </c>
      <c r="U18" s="121">
        <f>COUNTIF(U3:U15,"&gt;3")</f>
        <v>0</v>
      </c>
    </row>
    <row r="19" spans="2:21" s="118" customFormat="1" ht="12.75">
      <c r="B19" s="100"/>
      <c r="C19" s="119" t="s">
        <v>33</v>
      </c>
      <c r="D19" s="11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0">
        <f>U19/$B$15</f>
        <v>0</v>
      </c>
      <c r="U19" s="121">
        <f>COUNTIF(U3:U15,"&gt;6")</f>
        <v>0</v>
      </c>
    </row>
  </sheetData>
  <sheetProtection/>
  <mergeCells count="7">
    <mergeCell ref="P17:Q17"/>
    <mergeCell ref="P18:S18"/>
    <mergeCell ref="C16:D16"/>
    <mergeCell ref="E17:F17"/>
    <mergeCell ref="H17:I17"/>
    <mergeCell ref="N18:O18"/>
    <mergeCell ref="E18:M18"/>
  </mergeCells>
  <conditionalFormatting sqref="U3:U1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T3:T15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zoomScale="95" zoomScaleNormal="95" zoomScalePageLayoutView="0" workbookViewId="0" topLeftCell="A1">
      <selection activeCell="N12" sqref="N12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8.00390625" style="0" customWidth="1"/>
    <col min="4" max="12" width="5.75390625" style="0" customWidth="1"/>
    <col min="13" max="13" width="12.875" style="125" customWidth="1"/>
    <col min="14" max="14" width="10.00390625" style="133" customWidth="1"/>
    <col min="15" max="16" width="9.25390625" style="0" bestFit="1" customWidth="1"/>
  </cols>
  <sheetData>
    <row r="1" spans="1:25" ht="16.5" thickBot="1">
      <c r="A1" s="452" t="s">
        <v>180</v>
      </c>
      <c r="B1" s="452"/>
      <c r="C1" s="452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132"/>
      <c r="O1" s="13"/>
      <c r="P1" s="13"/>
      <c r="Q1" s="13"/>
      <c r="R1" s="13"/>
      <c r="S1" s="13"/>
      <c r="T1" s="25"/>
      <c r="U1" s="26"/>
      <c r="X1" s="6"/>
      <c r="Y1" s="7"/>
    </row>
    <row r="2" spans="1:21" ht="16.5" customHeight="1" thickBot="1">
      <c r="A2" s="27" t="s">
        <v>47</v>
      </c>
      <c r="B2" s="28" t="s">
        <v>23</v>
      </c>
      <c r="C2" s="29" t="s">
        <v>48</v>
      </c>
      <c r="D2" s="33">
        <v>44077</v>
      </c>
      <c r="E2" s="34">
        <v>44084</v>
      </c>
      <c r="F2" s="33">
        <v>44091</v>
      </c>
      <c r="G2" s="34">
        <v>44098</v>
      </c>
      <c r="H2" s="33">
        <v>44105</v>
      </c>
      <c r="I2" s="50">
        <v>44112</v>
      </c>
      <c r="J2" s="73">
        <v>44133</v>
      </c>
      <c r="K2" s="64">
        <v>44140</v>
      </c>
      <c r="L2" s="64">
        <v>44154</v>
      </c>
      <c r="M2" s="181" t="s">
        <v>19</v>
      </c>
      <c r="N2" s="181" t="s">
        <v>77</v>
      </c>
      <c r="O2" s="13"/>
      <c r="P2" s="13"/>
      <c r="Q2" s="13"/>
      <c r="R2" s="13"/>
      <c r="S2" s="13"/>
      <c r="T2" s="13"/>
      <c r="U2" s="13"/>
    </row>
    <row r="3" spans="1:14" ht="12.75">
      <c r="A3" s="14">
        <v>1</v>
      </c>
      <c r="B3" s="96" t="s">
        <v>181</v>
      </c>
      <c r="C3" s="72" t="s">
        <v>68</v>
      </c>
      <c r="D3" s="55" t="s">
        <v>74</v>
      </c>
      <c r="E3" s="223">
        <v>6</v>
      </c>
      <c r="F3" s="61" t="s">
        <v>74</v>
      </c>
      <c r="G3" s="49" t="s">
        <v>299</v>
      </c>
      <c r="H3" s="55" t="s">
        <v>74</v>
      </c>
      <c r="I3" s="70" t="s">
        <v>299</v>
      </c>
      <c r="J3" s="55"/>
      <c r="K3" s="57" t="s">
        <v>299</v>
      </c>
      <c r="L3" s="57" t="s">
        <v>299</v>
      </c>
      <c r="M3" s="182">
        <f aca="true" t="shared" si="0" ref="M3:M17">AVERAGE(D3:L3)</f>
        <v>6</v>
      </c>
      <c r="N3" s="243" t="s">
        <v>77</v>
      </c>
    </row>
    <row r="4" spans="1:14" ht="12.75">
      <c r="A4" s="2">
        <v>2</v>
      </c>
      <c r="B4" s="96" t="s">
        <v>182</v>
      </c>
      <c r="C4" s="72" t="s">
        <v>54</v>
      </c>
      <c r="D4" s="36"/>
      <c r="E4" s="41">
        <v>7</v>
      </c>
      <c r="F4" s="49" t="s">
        <v>74</v>
      </c>
      <c r="G4" s="49" t="s">
        <v>299</v>
      </c>
      <c r="H4" s="83"/>
      <c r="I4" s="84" t="s">
        <v>299</v>
      </c>
      <c r="J4" s="83"/>
      <c r="K4" s="82" t="s">
        <v>299</v>
      </c>
      <c r="L4" s="37" t="s">
        <v>299</v>
      </c>
      <c r="M4" s="183">
        <f t="shared" si="0"/>
        <v>7</v>
      </c>
      <c r="N4" s="244" t="s">
        <v>77</v>
      </c>
    </row>
    <row r="5" spans="1:14" ht="12.75">
      <c r="A5" s="2">
        <v>3</v>
      </c>
      <c r="B5" s="97" t="s">
        <v>183</v>
      </c>
      <c r="C5" s="58" t="s">
        <v>60</v>
      </c>
      <c r="D5" s="38"/>
      <c r="E5" s="41">
        <v>7</v>
      </c>
      <c r="F5" s="49"/>
      <c r="G5" s="49" t="s">
        <v>299</v>
      </c>
      <c r="H5" s="36" t="s">
        <v>74</v>
      </c>
      <c r="I5" s="240" t="s">
        <v>299</v>
      </c>
      <c r="J5" s="83"/>
      <c r="K5" s="203" t="s">
        <v>299</v>
      </c>
      <c r="L5" s="37" t="s">
        <v>299</v>
      </c>
      <c r="M5" s="183">
        <f t="shared" si="0"/>
        <v>7</v>
      </c>
      <c r="N5" s="241" t="s">
        <v>77</v>
      </c>
    </row>
    <row r="6" spans="1:14" ht="12.75">
      <c r="A6" s="2">
        <v>4</v>
      </c>
      <c r="B6" s="96" t="s">
        <v>184</v>
      </c>
      <c r="C6" s="72" t="s">
        <v>64</v>
      </c>
      <c r="D6" s="36" t="s">
        <v>74</v>
      </c>
      <c r="E6" s="41">
        <v>6</v>
      </c>
      <c r="F6" s="49" t="s">
        <v>74</v>
      </c>
      <c r="G6" s="49" t="s">
        <v>299</v>
      </c>
      <c r="H6" s="36" t="s">
        <v>74</v>
      </c>
      <c r="I6" s="84" t="s">
        <v>299</v>
      </c>
      <c r="J6" s="83"/>
      <c r="K6" s="82" t="s">
        <v>299</v>
      </c>
      <c r="L6" s="41" t="s">
        <v>299</v>
      </c>
      <c r="M6" s="183">
        <f t="shared" si="0"/>
        <v>6</v>
      </c>
      <c r="N6" s="185" t="s">
        <v>77</v>
      </c>
    </row>
    <row r="7" spans="1:14" ht="12.75">
      <c r="A7" s="2">
        <v>5</v>
      </c>
      <c r="B7" s="96" t="s">
        <v>185</v>
      </c>
      <c r="C7" s="72" t="s">
        <v>53</v>
      </c>
      <c r="D7" s="36"/>
      <c r="E7" s="41">
        <v>9</v>
      </c>
      <c r="F7" s="49"/>
      <c r="G7" s="82">
        <v>9</v>
      </c>
      <c r="H7" s="36"/>
      <c r="I7" s="45">
        <v>6</v>
      </c>
      <c r="J7" s="36"/>
      <c r="K7" s="41">
        <v>10</v>
      </c>
      <c r="L7" s="37">
        <v>9</v>
      </c>
      <c r="M7" s="183">
        <f t="shared" si="0"/>
        <v>8.6</v>
      </c>
      <c r="N7" s="185" t="s">
        <v>77</v>
      </c>
    </row>
    <row r="8" spans="1:14" ht="12.75">
      <c r="A8" s="2">
        <v>6</v>
      </c>
      <c r="B8" s="96" t="s">
        <v>186</v>
      </c>
      <c r="C8" s="72" t="s">
        <v>68</v>
      </c>
      <c r="D8" s="36" t="s">
        <v>74</v>
      </c>
      <c r="E8" s="82">
        <v>6</v>
      </c>
      <c r="F8" s="49" t="s">
        <v>74</v>
      </c>
      <c r="G8" s="49" t="s">
        <v>299</v>
      </c>
      <c r="H8" s="36" t="s">
        <v>74</v>
      </c>
      <c r="I8" s="45" t="s">
        <v>299</v>
      </c>
      <c r="J8" s="36"/>
      <c r="K8" s="41" t="s">
        <v>299</v>
      </c>
      <c r="L8" s="37" t="s">
        <v>299</v>
      </c>
      <c r="M8" s="183">
        <f t="shared" si="0"/>
        <v>6</v>
      </c>
      <c r="N8" s="185" t="s">
        <v>77</v>
      </c>
    </row>
    <row r="9" spans="1:14" ht="12.75">
      <c r="A9" s="2">
        <v>7</v>
      </c>
      <c r="B9" s="96" t="s">
        <v>187</v>
      </c>
      <c r="C9" s="72" t="s">
        <v>53</v>
      </c>
      <c r="D9" s="36" t="s">
        <v>74</v>
      </c>
      <c r="E9" s="82">
        <v>7</v>
      </c>
      <c r="F9" s="49" t="s">
        <v>74</v>
      </c>
      <c r="G9" s="49" t="s">
        <v>299</v>
      </c>
      <c r="H9" s="36" t="s">
        <v>74</v>
      </c>
      <c r="I9" s="45" t="s">
        <v>299</v>
      </c>
      <c r="J9" s="36"/>
      <c r="K9" s="41" t="s">
        <v>299</v>
      </c>
      <c r="L9" s="41" t="s">
        <v>299</v>
      </c>
      <c r="M9" s="183">
        <f t="shared" si="0"/>
        <v>7</v>
      </c>
      <c r="N9" s="185" t="s">
        <v>77</v>
      </c>
    </row>
    <row r="10" spans="1:14" ht="12.75">
      <c r="A10" s="2">
        <v>8</v>
      </c>
      <c r="B10" s="96" t="s">
        <v>188</v>
      </c>
      <c r="C10" s="72" t="s">
        <v>70</v>
      </c>
      <c r="D10" s="36"/>
      <c r="E10" s="82">
        <v>6</v>
      </c>
      <c r="F10" s="90" t="s">
        <v>74</v>
      </c>
      <c r="G10" s="49" t="s">
        <v>299</v>
      </c>
      <c r="H10" s="36" t="s">
        <v>74</v>
      </c>
      <c r="I10" s="89" t="s">
        <v>299</v>
      </c>
      <c r="J10" s="83"/>
      <c r="K10" s="82" t="s">
        <v>299</v>
      </c>
      <c r="L10" s="37" t="s">
        <v>299</v>
      </c>
      <c r="M10" s="183">
        <f t="shared" si="0"/>
        <v>6</v>
      </c>
      <c r="N10" s="185" t="s">
        <v>77</v>
      </c>
    </row>
    <row r="11" spans="1:14" ht="12.75">
      <c r="A11" s="2">
        <v>9</v>
      </c>
      <c r="B11" s="96" t="s">
        <v>189</v>
      </c>
      <c r="C11" s="72" t="s">
        <v>63</v>
      </c>
      <c r="D11" s="36"/>
      <c r="E11" s="41">
        <v>7</v>
      </c>
      <c r="F11" s="47"/>
      <c r="G11" s="44">
        <v>9</v>
      </c>
      <c r="H11" s="36" t="s">
        <v>74</v>
      </c>
      <c r="I11" s="95" t="s">
        <v>299</v>
      </c>
      <c r="J11" s="36"/>
      <c r="K11" s="146" t="s">
        <v>299</v>
      </c>
      <c r="L11" s="37" t="s">
        <v>299</v>
      </c>
      <c r="M11" s="183">
        <f t="shared" si="0"/>
        <v>8</v>
      </c>
      <c r="N11" s="241" t="s">
        <v>77</v>
      </c>
    </row>
    <row r="12" spans="1:17" ht="12.75">
      <c r="A12" s="2">
        <v>10</v>
      </c>
      <c r="B12" s="97" t="s">
        <v>190</v>
      </c>
      <c r="C12" s="58" t="s">
        <v>61</v>
      </c>
      <c r="D12" s="36" t="s">
        <v>74</v>
      </c>
      <c r="E12" s="41">
        <v>6</v>
      </c>
      <c r="F12" s="47" t="s">
        <v>74</v>
      </c>
      <c r="G12" s="49" t="s">
        <v>299</v>
      </c>
      <c r="H12" s="36" t="s">
        <v>74</v>
      </c>
      <c r="I12" s="44" t="s">
        <v>299</v>
      </c>
      <c r="J12" s="36"/>
      <c r="K12" s="41" t="s">
        <v>299</v>
      </c>
      <c r="L12" s="37" t="s">
        <v>299</v>
      </c>
      <c r="M12" s="183">
        <f t="shared" si="0"/>
        <v>6</v>
      </c>
      <c r="N12" s="244" t="s">
        <v>77</v>
      </c>
      <c r="Q12" s="87"/>
    </row>
    <row r="13" spans="1:17" ht="12.75">
      <c r="A13" s="2">
        <v>11</v>
      </c>
      <c r="B13" s="96" t="s">
        <v>191</v>
      </c>
      <c r="C13" s="58" t="s">
        <v>65</v>
      </c>
      <c r="D13" s="36"/>
      <c r="E13" s="41">
        <v>6</v>
      </c>
      <c r="F13" s="47" t="s">
        <v>74</v>
      </c>
      <c r="G13" s="49" t="s">
        <v>299</v>
      </c>
      <c r="H13" s="39"/>
      <c r="I13" s="44" t="s">
        <v>299</v>
      </c>
      <c r="J13" s="36"/>
      <c r="K13" s="41" t="s">
        <v>299</v>
      </c>
      <c r="L13" s="37" t="s">
        <v>299</v>
      </c>
      <c r="M13" s="183">
        <f t="shared" si="0"/>
        <v>6</v>
      </c>
      <c r="N13" s="185" t="s">
        <v>77</v>
      </c>
      <c r="Q13" s="88"/>
    </row>
    <row r="14" spans="1:14" ht="12.75">
      <c r="A14" s="2">
        <v>12</v>
      </c>
      <c r="B14" s="96" t="s">
        <v>192</v>
      </c>
      <c r="C14" s="58" t="s">
        <v>69</v>
      </c>
      <c r="D14" s="36"/>
      <c r="E14" s="41">
        <v>6</v>
      </c>
      <c r="F14" s="48"/>
      <c r="G14" s="49" t="s">
        <v>299</v>
      </c>
      <c r="H14" s="36" t="s">
        <v>74</v>
      </c>
      <c r="I14" s="63" t="s">
        <v>299</v>
      </c>
      <c r="J14" s="38"/>
      <c r="K14" s="37" t="s">
        <v>299</v>
      </c>
      <c r="L14" s="37" t="s">
        <v>299</v>
      </c>
      <c r="M14" s="183">
        <f t="shared" si="0"/>
        <v>6</v>
      </c>
      <c r="N14" s="245" t="s">
        <v>77</v>
      </c>
    </row>
    <row r="15" spans="1:14" ht="12.75">
      <c r="A15" s="2">
        <v>13</v>
      </c>
      <c r="B15" s="96" t="s">
        <v>193</v>
      </c>
      <c r="C15" s="58" t="s">
        <v>55</v>
      </c>
      <c r="D15" s="36" t="s">
        <v>74</v>
      </c>
      <c r="E15" s="41">
        <v>6</v>
      </c>
      <c r="F15" s="49" t="s">
        <v>74</v>
      </c>
      <c r="G15" s="49" t="s">
        <v>299</v>
      </c>
      <c r="H15" s="36" t="s">
        <v>74</v>
      </c>
      <c r="I15" s="45" t="s">
        <v>299</v>
      </c>
      <c r="J15" s="36"/>
      <c r="K15" s="41" t="s">
        <v>299</v>
      </c>
      <c r="L15" s="37" t="s">
        <v>299</v>
      </c>
      <c r="M15" s="183">
        <f t="shared" si="0"/>
        <v>6</v>
      </c>
      <c r="N15" s="185" t="s">
        <v>77</v>
      </c>
    </row>
    <row r="16" spans="1:14" ht="12.75">
      <c r="A16" s="2">
        <v>14</v>
      </c>
      <c r="B16" s="96" t="s">
        <v>194</v>
      </c>
      <c r="C16" s="58" t="s">
        <v>62</v>
      </c>
      <c r="D16" s="36" t="s">
        <v>74</v>
      </c>
      <c r="E16" s="37">
        <v>8</v>
      </c>
      <c r="F16" s="49" t="s">
        <v>74</v>
      </c>
      <c r="G16" s="94">
        <v>4</v>
      </c>
      <c r="H16" s="36" t="s">
        <v>74</v>
      </c>
      <c r="I16" s="63" t="s">
        <v>299</v>
      </c>
      <c r="J16" s="38"/>
      <c r="K16" s="37" t="s">
        <v>299</v>
      </c>
      <c r="L16" s="37" t="s">
        <v>299</v>
      </c>
      <c r="M16" s="183">
        <f t="shared" si="0"/>
        <v>6</v>
      </c>
      <c r="N16" s="242" t="s">
        <v>77</v>
      </c>
    </row>
    <row r="17" spans="1:14" ht="13.5" thickBot="1">
      <c r="A17" s="2">
        <v>15</v>
      </c>
      <c r="B17" s="96" t="s">
        <v>195</v>
      </c>
      <c r="C17" s="58" t="s">
        <v>65</v>
      </c>
      <c r="D17" s="36" t="s">
        <v>74</v>
      </c>
      <c r="E17" s="41">
        <v>6</v>
      </c>
      <c r="F17" s="49" t="s">
        <v>74</v>
      </c>
      <c r="G17" s="49" t="s">
        <v>299</v>
      </c>
      <c r="H17" s="36" t="s">
        <v>74</v>
      </c>
      <c r="I17" s="63" t="s">
        <v>299</v>
      </c>
      <c r="J17" s="38"/>
      <c r="K17" s="37" t="s">
        <v>299</v>
      </c>
      <c r="L17" s="37" t="s">
        <v>299</v>
      </c>
      <c r="M17" s="183">
        <f t="shared" si="0"/>
        <v>6</v>
      </c>
      <c r="N17" s="186" t="s">
        <v>77</v>
      </c>
    </row>
    <row r="18" spans="1:13" s="99" customFormat="1" ht="13.5" thickBot="1">
      <c r="A18" s="131"/>
      <c r="B18" s="131"/>
      <c r="C18" s="131"/>
      <c r="D18" s="454" t="s">
        <v>40</v>
      </c>
      <c r="E18" s="455"/>
      <c r="F18" s="456" t="s">
        <v>41</v>
      </c>
      <c r="G18" s="457"/>
      <c r="H18" s="454" t="s">
        <v>42</v>
      </c>
      <c r="I18" s="457"/>
      <c r="J18" s="454" t="s">
        <v>44</v>
      </c>
      <c r="K18" s="455"/>
      <c r="L18" s="218" t="s">
        <v>43</v>
      </c>
      <c r="M18" s="184">
        <f>AVERAGE(M3:M17)</f>
        <v>6.506666666666666</v>
      </c>
    </row>
    <row r="19" ht="12.75">
      <c r="E19" s="6"/>
    </row>
    <row r="21" ht="12.75">
      <c r="B21" t="s">
        <v>196</v>
      </c>
    </row>
  </sheetData>
  <sheetProtection/>
  <mergeCells count="5">
    <mergeCell ref="A1:M1"/>
    <mergeCell ref="D18:E18"/>
    <mergeCell ref="F18:G18"/>
    <mergeCell ref="H18:I18"/>
    <mergeCell ref="J18:K18"/>
  </mergeCells>
  <conditionalFormatting sqref="M1:M2 M18:M65536">
    <cfRule type="cellIs" priority="1" dxfId="0" operator="greaterThanOrEqual" stopIfTrue="1">
      <formula>6.5</formula>
    </cfRule>
  </conditionalFormatting>
  <conditionalFormatting sqref="M3:M17">
    <cfRule type="cellIs" priority="2" dxfId="1" operator="lessThan" stopIfTrue="1">
      <formula>4</formula>
    </cfRule>
    <cfRule type="cellIs" priority="3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I44"/>
  <sheetViews>
    <sheetView zoomScalePageLayoutView="0" workbookViewId="0" topLeftCell="A1">
      <pane xSplit="2" ySplit="3" topLeftCell="C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J4" sqref="CJ4:CJ27"/>
    </sheetView>
  </sheetViews>
  <sheetFormatPr defaultColWidth="9.00390625" defaultRowHeight="12.75"/>
  <cols>
    <col min="1" max="1" width="3.00390625" style="0" bestFit="1" customWidth="1"/>
    <col min="2" max="2" width="23.25390625" style="0" customWidth="1"/>
    <col min="3" max="85" width="4.75390625" style="0" customWidth="1"/>
    <col min="86" max="86" width="4.75390625" style="3" customWidth="1"/>
    <col min="87" max="88" width="4.75390625" style="0" customWidth="1"/>
    <col min="89" max="89" width="10.25390625" style="0" bestFit="1" customWidth="1"/>
    <col min="104" max="104" width="10.25390625" style="0" customWidth="1"/>
    <col min="105" max="105" width="10.625" style="0" customWidth="1"/>
  </cols>
  <sheetData>
    <row r="1" spans="3:113" ht="16.5" thickBot="1">
      <c r="C1" s="296" t="s">
        <v>324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25"/>
      <c r="DE1" s="26"/>
      <c r="DH1" s="6"/>
      <c r="DI1" s="7"/>
    </row>
    <row r="2" spans="2:113" ht="16.5" thickBot="1">
      <c r="B2" s="300" t="s">
        <v>5</v>
      </c>
      <c r="C2" s="464" t="s">
        <v>330</v>
      </c>
      <c r="D2" s="465"/>
      <c r="E2" s="465"/>
      <c r="F2" s="464" t="s">
        <v>328</v>
      </c>
      <c r="G2" s="465"/>
      <c r="H2" s="465"/>
      <c r="I2" s="471"/>
      <c r="J2" s="466"/>
      <c r="K2" s="464" t="s">
        <v>329</v>
      </c>
      <c r="L2" s="465"/>
      <c r="M2" s="465"/>
      <c r="N2" s="466"/>
      <c r="O2" s="464" t="s">
        <v>331</v>
      </c>
      <c r="P2" s="465"/>
      <c r="Q2" s="465"/>
      <c r="R2" s="471"/>
      <c r="S2" s="466"/>
      <c r="T2" s="464" t="s">
        <v>332</v>
      </c>
      <c r="U2" s="465"/>
      <c r="V2" s="465"/>
      <c r="W2" s="466"/>
      <c r="X2" s="478" t="s">
        <v>333</v>
      </c>
      <c r="Y2" s="479"/>
      <c r="Z2" s="479"/>
      <c r="AA2" s="480"/>
      <c r="AB2" s="481"/>
      <c r="AC2" s="464" t="s">
        <v>334</v>
      </c>
      <c r="AD2" s="465"/>
      <c r="AE2" s="465"/>
      <c r="AF2" s="471"/>
      <c r="AG2" s="466"/>
      <c r="AH2" s="464" t="s">
        <v>335</v>
      </c>
      <c r="AI2" s="465"/>
      <c r="AJ2" s="465"/>
      <c r="AK2" s="471"/>
      <c r="AL2" s="466"/>
      <c r="AM2" s="464" t="s">
        <v>210</v>
      </c>
      <c r="AN2" s="465"/>
      <c r="AO2" s="465"/>
      <c r="AP2" s="466"/>
      <c r="AQ2" s="464" t="s">
        <v>211</v>
      </c>
      <c r="AR2" s="465"/>
      <c r="AS2" s="465"/>
      <c r="AT2" s="466"/>
      <c r="AU2" s="464" t="s">
        <v>336</v>
      </c>
      <c r="AV2" s="465"/>
      <c r="AW2" s="465"/>
      <c r="AX2" s="466"/>
      <c r="AY2" s="464" t="s">
        <v>337</v>
      </c>
      <c r="AZ2" s="465"/>
      <c r="BA2" s="465"/>
      <c r="BB2" s="466"/>
      <c r="BC2" s="464" t="s">
        <v>338</v>
      </c>
      <c r="BD2" s="465"/>
      <c r="BE2" s="465"/>
      <c r="BF2" s="464" t="s">
        <v>341</v>
      </c>
      <c r="BG2" s="465"/>
      <c r="BH2" s="465"/>
      <c r="BI2" s="466"/>
      <c r="BJ2" s="464" t="s">
        <v>342</v>
      </c>
      <c r="BK2" s="465"/>
      <c r="BL2" s="465"/>
      <c r="BM2" s="466"/>
      <c r="BN2" s="464" t="s">
        <v>343</v>
      </c>
      <c r="BO2" s="465"/>
      <c r="BP2" s="466"/>
      <c r="BQ2" s="464" t="s">
        <v>344</v>
      </c>
      <c r="BR2" s="465"/>
      <c r="BS2" s="466"/>
      <c r="BT2" s="464" t="s">
        <v>345</v>
      </c>
      <c r="BU2" s="465"/>
      <c r="BV2" s="465"/>
      <c r="BW2" s="466"/>
      <c r="BX2" s="464" t="s">
        <v>346</v>
      </c>
      <c r="BY2" s="465"/>
      <c r="BZ2" s="465"/>
      <c r="CA2" s="466"/>
      <c r="CB2" s="470" t="s">
        <v>382</v>
      </c>
      <c r="CC2" s="470"/>
      <c r="CD2" s="470" t="s">
        <v>383</v>
      </c>
      <c r="CE2" s="470"/>
      <c r="CF2" s="465" t="s">
        <v>387</v>
      </c>
      <c r="CG2" s="465"/>
      <c r="CH2" s="472" t="s">
        <v>21</v>
      </c>
      <c r="CI2" s="473"/>
      <c r="CJ2" s="474"/>
      <c r="CK2" s="467" t="s">
        <v>351</v>
      </c>
      <c r="CL2" s="468"/>
      <c r="CM2" s="468"/>
      <c r="CN2" s="468"/>
      <c r="CO2" s="469"/>
      <c r="CP2" s="467" t="s">
        <v>352</v>
      </c>
      <c r="CQ2" s="468"/>
      <c r="CR2" s="468"/>
      <c r="CS2" s="468"/>
      <c r="CT2" s="469"/>
      <c r="CU2" s="467" t="s">
        <v>353</v>
      </c>
      <c r="CV2" s="468"/>
      <c r="CW2" s="468"/>
      <c r="CX2" s="468"/>
      <c r="CY2" s="468"/>
      <c r="CZ2" s="494" t="s">
        <v>413</v>
      </c>
      <c r="DA2" s="494"/>
      <c r="DB2" s="13"/>
      <c r="DC2" s="13"/>
      <c r="DD2" s="25"/>
      <c r="DE2" s="26"/>
      <c r="DH2" s="6"/>
      <c r="DI2" s="7"/>
    </row>
    <row r="3" spans="1:109" ht="16.5" customHeight="1" thickBot="1">
      <c r="A3" s="27" t="s">
        <v>47</v>
      </c>
      <c r="B3" s="301" t="s">
        <v>23</v>
      </c>
      <c r="C3" s="370">
        <v>1</v>
      </c>
      <c r="D3" s="371" t="s">
        <v>68</v>
      </c>
      <c r="E3" s="373" t="s">
        <v>325</v>
      </c>
      <c r="F3" s="370">
        <v>1</v>
      </c>
      <c r="G3" s="371" t="s">
        <v>68</v>
      </c>
      <c r="H3" s="372" t="s">
        <v>325</v>
      </c>
      <c r="I3" s="372" t="s">
        <v>327</v>
      </c>
      <c r="J3" s="373" t="s">
        <v>326</v>
      </c>
      <c r="K3" s="430">
        <v>1</v>
      </c>
      <c r="L3" s="310" t="s">
        <v>68</v>
      </c>
      <c r="M3" s="311" t="s">
        <v>325</v>
      </c>
      <c r="N3" s="312" t="s">
        <v>326</v>
      </c>
      <c r="O3" s="370">
        <v>1</v>
      </c>
      <c r="P3" s="371" t="s">
        <v>68</v>
      </c>
      <c r="Q3" s="372" t="s">
        <v>325</v>
      </c>
      <c r="R3" s="372" t="s">
        <v>327</v>
      </c>
      <c r="S3" s="373" t="s">
        <v>326</v>
      </c>
      <c r="T3" s="370">
        <v>1</v>
      </c>
      <c r="U3" s="371" t="s">
        <v>68</v>
      </c>
      <c r="V3" s="372" t="s">
        <v>325</v>
      </c>
      <c r="W3" s="373" t="s">
        <v>326</v>
      </c>
      <c r="X3" s="365">
        <v>1</v>
      </c>
      <c r="Y3" s="366" t="s">
        <v>68</v>
      </c>
      <c r="Z3" s="366" t="s">
        <v>325</v>
      </c>
      <c r="AA3" s="366" t="s">
        <v>327</v>
      </c>
      <c r="AB3" s="367" t="s">
        <v>326</v>
      </c>
      <c r="AC3" s="374">
        <v>1</v>
      </c>
      <c r="AD3" s="305" t="s">
        <v>68</v>
      </c>
      <c r="AE3" s="304" t="s">
        <v>325</v>
      </c>
      <c r="AF3" s="304" t="s">
        <v>327</v>
      </c>
      <c r="AG3" s="304" t="s">
        <v>326</v>
      </c>
      <c r="AH3" s="370">
        <v>1</v>
      </c>
      <c r="AI3" s="371" t="s">
        <v>68</v>
      </c>
      <c r="AJ3" s="372" t="s">
        <v>325</v>
      </c>
      <c r="AK3" s="372" t="s">
        <v>327</v>
      </c>
      <c r="AL3" s="373" t="s">
        <v>326</v>
      </c>
      <c r="AM3" s="370">
        <v>1</v>
      </c>
      <c r="AN3" s="371" t="s">
        <v>68</v>
      </c>
      <c r="AO3" s="372" t="s">
        <v>325</v>
      </c>
      <c r="AP3" s="373" t="s">
        <v>326</v>
      </c>
      <c r="AQ3" s="370">
        <v>1</v>
      </c>
      <c r="AR3" s="371" t="s">
        <v>68</v>
      </c>
      <c r="AS3" s="372" t="s">
        <v>325</v>
      </c>
      <c r="AT3" s="373" t="s">
        <v>326</v>
      </c>
      <c r="AU3" s="370">
        <v>1</v>
      </c>
      <c r="AV3" s="371" t="s">
        <v>68</v>
      </c>
      <c r="AW3" s="372" t="s">
        <v>325</v>
      </c>
      <c r="AX3" s="373" t="s">
        <v>326</v>
      </c>
      <c r="AY3" s="370">
        <v>1</v>
      </c>
      <c r="AZ3" s="371" t="s">
        <v>68</v>
      </c>
      <c r="BA3" s="372" t="s">
        <v>325</v>
      </c>
      <c r="BB3" s="373" t="s">
        <v>326</v>
      </c>
      <c r="BC3" s="370">
        <v>1</v>
      </c>
      <c r="BD3" s="371" t="s">
        <v>68</v>
      </c>
      <c r="BE3" s="373" t="s">
        <v>325</v>
      </c>
      <c r="BF3" s="370">
        <v>1</v>
      </c>
      <c r="BG3" s="371" t="s">
        <v>68</v>
      </c>
      <c r="BH3" s="372" t="s">
        <v>325</v>
      </c>
      <c r="BI3" s="373" t="s">
        <v>326</v>
      </c>
      <c r="BJ3" s="303">
        <v>1</v>
      </c>
      <c r="BK3" s="305" t="s">
        <v>68</v>
      </c>
      <c r="BL3" s="304" t="s">
        <v>325</v>
      </c>
      <c r="BM3" s="304" t="s">
        <v>326</v>
      </c>
      <c r="BN3" s="370">
        <v>1</v>
      </c>
      <c r="BO3" s="372" t="s">
        <v>325</v>
      </c>
      <c r="BP3" s="373" t="s">
        <v>326</v>
      </c>
      <c r="BQ3" s="310">
        <v>1</v>
      </c>
      <c r="BR3" s="311" t="s">
        <v>325</v>
      </c>
      <c r="BS3" s="312" t="s">
        <v>326</v>
      </c>
      <c r="BT3" s="370">
        <v>1</v>
      </c>
      <c r="BU3" s="371" t="s">
        <v>325</v>
      </c>
      <c r="BV3" s="372" t="s">
        <v>327</v>
      </c>
      <c r="BW3" s="373" t="s">
        <v>326</v>
      </c>
      <c r="BX3" s="370">
        <v>1</v>
      </c>
      <c r="BY3" s="371" t="s">
        <v>325</v>
      </c>
      <c r="BZ3" s="372" t="s">
        <v>327</v>
      </c>
      <c r="CA3" s="373" t="s">
        <v>326</v>
      </c>
      <c r="CB3" s="364" t="s">
        <v>68</v>
      </c>
      <c r="CC3" s="297" t="s">
        <v>325</v>
      </c>
      <c r="CD3" s="370" t="s">
        <v>68</v>
      </c>
      <c r="CE3" s="373" t="s">
        <v>325</v>
      </c>
      <c r="CF3" s="370" t="s">
        <v>68</v>
      </c>
      <c r="CG3" s="373" t="s">
        <v>325</v>
      </c>
      <c r="CH3" s="298">
        <v>1</v>
      </c>
      <c r="CI3" s="298">
        <v>2</v>
      </c>
      <c r="CJ3" s="306" t="s">
        <v>325</v>
      </c>
      <c r="CK3" s="381" t="s">
        <v>347</v>
      </c>
      <c r="CL3" s="382" t="s">
        <v>348</v>
      </c>
      <c r="CM3" s="383" t="s">
        <v>349</v>
      </c>
      <c r="CN3" s="384" t="s">
        <v>350</v>
      </c>
      <c r="CO3" s="385">
        <v>0</v>
      </c>
      <c r="CP3" s="411" t="s">
        <v>347</v>
      </c>
      <c r="CQ3" s="412" t="s">
        <v>348</v>
      </c>
      <c r="CR3" s="413" t="s">
        <v>349</v>
      </c>
      <c r="CS3" s="414" t="s">
        <v>350</v>
      </c>
      <c r="CT3" s="406">
        <v>0</v>
      </c>
      <c r="CU3" s="411" t="s">
        <v>347</v>
      </c>
      <c r="CV3" s="412" t="s">
        <v>348</v>
      </c>
      <c r="CW3" s="413" t="s">
        <v>349</v>
      </c>
      <c r="CX3" s="414" t="s">
        <v>350</v>
      </c>
      <c r="CY3" s="420">
        <v>0</v>
      </c>
      <c r="CZ3" s="439" t="s">
        <v>411</v>
      </c>
      <c r="DA3" s="439" t="s">
        <v>412</v>
      </c>
      <c r="DB3" s="13"/>
      <c r="DC3" s="13"/>
      <c r="DD3" s="13"/>
      <c r="DE3" s="13"/>
    </row>
    <row r="4" spans="1:105" ht="12.75">
      <c r="A4" s="2">
        <v>1</v>
      </c>
      <c r="B4" s="204" t="s">
        <v>155</v>
      </c>
      <c r="C4" s="314">
        <v>6</v>
      </c>
      <c r="D4" s="315">
        <v>5</v>
      </c>
      <c r="E4" s="313">
        <f>AVERAGE(CZ4:DA4)</f>
        <v>5.5</v>
      </c>
      <c r="F4" s="375">
        <v>5</v>
      </c>
      <c r="G4" s="315">
        <v>4</v>
      </c>
      <c r="H4" s="315">
        <f>AVERAGE(F4:G4)</f>
        <v>4.5</v>
      </c>
      <c r="I4" s="428" t="s">
        <v>403</v>
      </c>
      <c r="J4" s="317">
        <v>5</v>
      </c>
      <c r="K4" s="314">
        <v>6</v>
      </c>
      <c r="L4" s="315">
        <v>5</v>
      </c>
      <c r="M4" s="315">
        <f>AVERAGE(K4:L4)</f>
        <v>5.5</v>
      </c>
      <c r="N4" s="358">
        <f>M4</f>
        <v>5.5</v>
      </c>
      <c r="O4" s="375">
        <v>4</v>
      </c>
      <c r="P4" s="315">
        <v>4</v>
      </c>
      <c r="Q4" s="315">
        <v>4</v>
      </c>
      <c r="R4" s="135"/>
      <c r="S4" s="358">
        <v>4</v>
      </c>
      <c r="T4" s="375">
        <v>8</v>
      </c>
      <c r="U4" s="315">
        <v>6</v>
      </c>
      <c r="V4" s="315">
        <f>AVERAGE(T4:U4)</f>
        <v>7</v>
      </c>
      <c r="W4" s="358">
        <f>V4</f>
        <v>7</v>
      </c>
      <c r="X4" s="368">
        <v>6</v>
      </c>
      <c r="Y4" s="313">
        <v>5</v>
      </c>
      <c r="Z4" s="313">
        <v>5</v>
      </c>
      <c r="AA4" s="313">
        <v>6</v>
      </c>
      <c r="AB4" s="318">
        <v>6</v>
      </c>
      <c r="AC4" s="314">
        <v>5</v>
      </c>
      <c r="AD4" s="315">
        <v>5</v>
      </c>
      <c r="AE4" s="315">
        <f>AVERAGE(AC4:AD4)</f>
        <v>5</v>
      </c>
      <c r="AF4" s="313">
        <v>6</v>
      </c>
      <c r="AG4" s="313">
        <v>6</v>
      </c>
      <c r="AH4" s="314">
        <v>2</v>
      </c>
      <c r="AI4" s="315">
        <v>3</v>
      </c>
      <c r="AJ4" s="315">
        <f>AVERAGE(AH4:AI4)</f>
        <v>2.5</v>
      </c>
      <c r="AK4" s="315">
        <v>2</v>
      </c>
      <c r="AL4" s="358">
        <v>3</v>
      </c>
      <c r="AM4" s="314">
        <v>5</v>
      </c>
      <c r="AN4" s="315">
        <v>4</v>
      </c>
      <c r="AO4" s="315">
        <f>AVERAGE(AM4:AN4)</f>
        <v>4.5</v>
      </c>
      <c r="AP4" s="317">
        <f>AO4</f>
        <v>4.5</v>
      </c>
      <c r="AQ4" s="314">
        <v>5</v>
      </c>
      <c r="AR4" s="315">
        <v>3</v>
      </c>
      <c r="AS4" s="315">
        <f>AVERAGE(AQ4:AR4)</f>
        <v>4</v>
      </c>
      <c r="AT4" s="317">
        <f>AS4</f>
        <v>4</v>
      </c>
      <c r="AU4" s="314">
        <v>3</v>
      </c>
      <c r="AV4" s="315">
        <v>4</v>
      </c>
      <c r="AW4" s="315">
        <f>AVERAGE(AU4:AV4)</f>
        <v>3.5</v>
      </c>
      <c r="AX4" s="317">
        <f>AW4</f>
        <v>3.5</v>
      </c>
      <c r="AY4" s="314">
        <v>5</v>
      </c>
      <c r="AZ4" s="315">
        <v>4</v>
      </c>
      <c r="BA4" s="315">
        <f>AVERAGE(AY4:AZ4)</f>
        <v>4.5</v>
      </c>
      <c r="BB4" s="317">
        <f>BA4</f>
        <v>4.5</v>
      </c>
      <c r="BC4" s="314">
        <v>1</v>
      </c>
      <c r="BD4" s="315">
        <v>1</v>
      </c>
      <c r="BE4" s="317">
        <f>AVERAGE(BC4:BD4)</f>
        <v>1</v>
      </c>
      <c r="BF4" s="314">
        <v>3</v>
      </c>
      <c r="BG4" s="315">
        <v>5</v>
      </c>
      <c r="BH4" s="315">
        <f>AVERAGE(BF4:BG4)</f>
        <v>4</v>
      </c>
      <c r="BI4" s="317">
        <f>BH4</f>
        <v>4</v>
      </c>
      <c r="BJ4" s="314">
        <v>5</v>
      </c>
      <c r="BK4" s="315">
        <v>4</v>
      </c>
      <c r="BL4" s="315">
        <f>AVERAGE(BJ4:BK4)</f>
        <v>4.5</v>
      </c>
      <c r="BM4" s="358">
        <f aca="true" t="shared" si="0" ref="BM4:BM27">BL4</f>
        <v>4.5</v>
      </c>
      <c r="BN4" s="376">
        <v>6</v>
      </c>
      <c r="BO4" s="376">
        <f>BN4</f>
        <v>6</v>
      </c>
      <c r="BP4" s="376">
        <f>BN4</f>
        <v>6</v>
      </c>
      <c r="BQ4" s="314">
        <v>5</v>
      </c>
      <c r="BR4" s="315">
        <f>BQ4</f>
        <v>5</v>
      </c>
      <c r="BS4" s="358">
        <v>5</v>
      </c>
      <c r="BT4" s="314">
        <v>4</v>
      </c>
      <c r="BU4" s="315">
        <f>BT4</f>
        <v>4</v>
      </c>
      <c r="BV4" s="315">
        <v>4</v>
      </c>
      <c r="BW4" s="358">
        <v>4</v>
      </c>
      <c r="BX4" s="375">
        <v>4</v>
      </c>
      <c r="BY4" s="315">
        <f>BX4</f>
        <v>4</v>
      </c>
      <c r="BZ4" s="315">
        <v>4</v>
      </c>
      <c r="CA4" s="358">
        <v>4</v>
      </c>
      <c r="CB4" s="314">
        <v>4</v>
      </c>
      <c r="CC4" s="317">
        <f>CB4</f>
        <v>4</v>
      </c>
      <c r="CD4" s="314">
        <v>4</v>
      </c>
      <c r="CE4" s="317">
        <f>CD4</f>
        <v>4</v>
      </c>
      <c r="CF4" s="314">
        <v>6</v>
      </c>
      <c r="CG4" s="358">
        <f>CF4</f>
        <v>6</v>
      </c>
      <c r="CH4" s="335">
        <f aca="true" t="shared" si="1" ref="CH4:CH27">AVERAGE(C4,F4,K4,O4,T4,X4,AC4,AH4,AM4,AQ4,AU4,AY4,BC4,BF4,BJ4,BN4,BQ4,BT4,BX4)</f>
        <v>4.631578947368421</v>
      </c>
      <c r="CI4" s="268">
        <f aca="true" t="shared" si="2" ref="CI4:CI27">AVERAGE(D4,G4,L4,P4,U4,Y4,AD4,AI4,AN4,AR4,AV4,AZ4,BD4,BG4,BK4,CB4,CD4,CF4)</f>
        <v>4.222222222222222</v>
      </c>
      <c r="CJ4" s="307">
        <f aca="true" t="shared" si="3" ref="CJ4:CJ27">AVERAGE(E4,H4,M4,Q4,V4,Z4,AE4,AJ4,AO4,AS4,AW4,BA4,BE4,BH4,BL4,BO4,BR4,BU4,BY4,CC4,CE4,CG4)</f>
        <v>4.454545454545454</v>
      </c>
      <c r="CK4" s="386">
        <f ca="1">SUM(COUNTIF(INDIRECT({"c4","F4","K4","O4","T4","X4","AC4","AH4","AM4","AQ4","AU4","AY4","BC4","BF4","BJ4","BN4","BQ4","BT4","BX4"}),"&gt;8"))</f>
        <v>0</v>
      </c>
      <c r="CL4" s="387">
        <f ca="1">SUM(COUNTIF(INDIRECT({"c4","F4","K4","O4","T4","X4","AC4","AH4","AM4","AQ4","AU4","AY4","BC4","BF4","BJ4","BN4","BQ4","BT4","BX4"}),"&gt;5"))-CK4</f>
        <v>5</v>
      </c>
      <c r="CM4" s="388">
        <f ca="1">SUM(COUNTIF(INDIRECT({"c4","F4","K4","O4","T4","X4","AC4","AH4","AM4","AQ4","AU4","AY4","BC4","BF4","BJ4","BN4","BQ4","BT4","BX4"}),"&gt;2"))-CL4-CK4</f>
        <v>12</v>
      </c>
      <c r="CN4" s="389">
        <f ca="1">SUM(COUNTIF(INDIRECT({"c4","F4","K4","O4","T4","X4","AC4","AH4","AM4","AQ4","AU4","AY4","BC4","BF4","BJ4","BN4","BQ4","BT4","BX4"}),"&lt;3"))-CO4</f>
        <v>2</v>
      </c>
      <c r="CO4" s="416">
        <f ca="1">SUM(COUNTIF(INDIRECT({"c4","F4","K4","O4","T4","X4","AC4","AH4","AM4","AQ4","AU4","AY4","BC4","BF4","BJ4","BN4","BQ4","BT4","BX4"}),"=0"))</f>
        <v>0</v>
      </c>
      <c r="CP4" s="386">
        <f ca="1">SUM(COUNTIF(INDIRECT({"D4","G4","L4","P4","U4","Y4","AD4","AI4","AN4","AR4","AV4","AZ4","BD4","BG4","BK4","CB4","CD4","CF4"}),"&gt;8"))</f>
        <v>0</v>
      </c>
      <c r="CQ4" s="387">
        <f ca="1">SUM(COUNTIF(INDIRECT({"D4","G4","L4","P4","U4","Y4","AD4","AI4","AN4","AR4","AV4","AZ4","BD4","BG4","BK4","CB4","CD4","CF4"}),"&gt;5"))-CP4</f>
        <v>2</v>
      </c>
      <c r="CR4" s="388">
        <f ca="1">SUM(COUNTIF(INDIRECT({"D4","G4","L4","P4","U4","Y4","AD4","AI4","AN4","AR4","AV4","AZ4","BD4","BG4","BK4","CB4","CD4","CF4"}),"&gt;2"))-CQ4-CP4</f>
        <v>15</v>
      </c>
      <c r="CS4" s="389">
        <f ca="1">SUM(COUNTIF(INDIRECT({"D4","G4","L4","P4","U4","Y4","AD4","AI4","AN4","AR4","AV4","AZ4","BD4","BG4","BK4","CB4","CD4","CF4"}),"&lt;3"))-CT4</f>
        <v>1</v>
      </c>
      <c r="CT4" s="416">
        <f ca="1">SUM(COUNTIF(INDIRECT({"D4","G4","L4","P4","U4","Y4","AD4","AI4","AN4","AR4","AV4","AZ4","BD4","BG4","BK4","CB4","CD4","CF4"}),"=0"))</f>
        <v>0</v>
      </c>
      <c r="CU4" s="386">
        <f ca="1">SUM(COUNTIF(INDIRECT({"E4","H4","M4","Q4","V4","Z4","AE4","AJ4","AO4","AS4","AW4","BA4","BE4","BH4","BL4","BO4","BR4","BU4","BY4","CC4","CE4","CG4"}),"&gt;8"))</f>
        <v>0</v>
      </c>
      <c r="CV4" s="387">
        <f ca="1">SUM(COUNTIF(INDIRECT({"E4","H4","M4","Q4","V4","Z4","AE4","AJ4","AO4","AS4","AW4","BA4","BE4","BH4","BL4","BO4","BR4","BU4","BY4","CC4","CE4","CG4"}),"&gt;5"))-CU4</f>
        <v>5</v>
      </c>
      <c r="CW4" s="388">
        <f ca="1">SUM(COUNTIF(INDIRECT({"E4","H4","M4","Q4","V4","Z4","AE4","AJ4","AO4","AS4","AW4","BA4","BE4","BH4","BL4","BO4","BR4","BU4","BY4","CC4","CE4","CG4"}),"&gt;2"))-CV4-CU4</f>
        <v>16</v>
      </c>
      <c r="CX4" s="389">
        <v>1</v>
      </c>
      <c r="CY4" s="416">
        <f ca="1">SUM(COUNTIF(INDIRECT({"E4","H4","M4","Q4","V4","Z4","AE4","AJ4","AO4","AS4","AW4","BA4","BE4","BH4","BL4","BO4","BR4","BU4","BY4","CC4","CE4","CG4"}),"=0"))</f>
        <v>0</v>
      </c>
      <c r="CZ4" s="5">
        <v>6</v>
      </c>
      <c r="DA4" s="5">
        <v>5</v>
      </c>
    </row>
    <row r="5" spans="1:105" ht="12.75">
      <c r="A5" s="2">
        <v>2</v>
      </c>
      <c r="B5" s="204" t="s">
        <v>156</v>
      </c>
      <c r="C5" s="316">
        <v>9</v>
      </c>
      <c r="D5" s="313">
        <v>9</v>
      </c>
      <c r="E5" s="313">
        <f aca="true" t="shared" si="4" ref="E5:E27">AVERAGE(CZ5:DA5)</f>
        <v>9</v>
      </c>
      <c r="F5" s="368">
        <v>6</v>
      </c>
      <c r="G5" s="313">
        <v>7</v>
      </c>
      <c r="H5" s="313">
        <f aca="true" t="shared" si="5" ref="H5:H27">AVERAGE(F5:G5)</f>
        <v>6.5</v>
      </c>
      <c r="I5" s="423" t="s">
        <v>398</v>
      </c>
      <c r="J5" s="318">
        <v>7</v>
      </c>
      <c r="K5" s="316">
        <v>8</v>
      </c>
      <c r="L5" s="313">
        <v>8</v>
      </c>
      <c r="M5" s="313">
        <f aca="true" t="shared" si="6" ref="M5:M27">AVERAGE(K5:L5)</f>
        <v>8</v>
      </c>
      <c r="N5" s="359">
        <f aca="true" t="shared" si="7" ref="N5:N27">M5</f>
        <v>8</v>
      </c>
      <c r="O5" s="368">
        <v>7</v>
      </c>
      <c r="P5" s="313">
        <v>7</v>
      </c>
      <c r="Q5" s="313">
        <v>7</v>
      </c>
      <c r="R5" s="135"/>
      <c r="S5" s="359">
        <v>7</v>
      </c>
      <c r="T5" s="368">
        <v>8</v>
      </c>
      <c r="U5" s="313">
        <v>9</v>
      </c>
      <c r="V5" s="313">
        <f aca="true" t="shared" si="8" ref="V5:V26">AVERAGE(T5:U5)</f>
        <v>8.5</v>
      </c>
      <c r="W5" s="359">
        <f aca="true" t="shared" si="9" ref="W5:W26">V5</f>
        <v>8.5</v>
      </c>
      <c r="X5" s="368">
        <v>7</v>
      </c>
      <c r="Y5" s="313">
        <v>5</v>
      </c>
      <c r="Z5" s="313">
        <f aca="true" t="shared" si="10" ref="Z5:Z27">AVERAGE(X5:Y5)</f>
        <v>6</v>
      </c>
      <c r="AA5" s="313">
        <v>6</v>
      </c>
      <c r="AB5" s="318">
        <v>6</v>
      </c>
      <c r="AC5" s="316">
        <v>8</v>
      </c>
      <c r="AD5" s="313">
        <v>7</v>
      </c>
      <c r="AE5" s="313">
        <f aca="true" t="shared" si="11" ref="AE5:AE27">AVERAGE(AC5:AD5)</f>
        <v>7.5</v>
      </c>
      <c r="AF5" s="313">
        <v>9</v>
      </c>
      <c r="AG5" s="313">
        <v>9</v>
      </c>
      <c r="AH5" s="316">
        <v>7</v>
      </c>
      <c r="AI5" s="313">
        <v>6</v>
      </c>
      <c r="AJ5" s="313">
        <f aca="true" t="shared" si="12" ref="AJ5:AJ27">AVERAGE(AH5:AI5)</f>
        <v>6.5</v>
      </c>
      <c r="AK5" s="313">
        <v>6</v>
      </c>
      <c r="AL5" s="359">
        <v>7</v>
      </c>
      <c r="AM5" s="316">
        <v>7</v>
      </c>
      <c r="AN5" s="313">
        <v>8</v>
      </c>
      <c r="AO5" s="313">
        <f aca="true" t="shared" si="13" ref="AO5:AO27">AVERAGE(AM5:AN5)</f>
        <v>7.5</v>
      </c>
      <c r="AP5" s="318">
        <f aca="true" t="shared" si="14" ref="AP5:AP27">AO5</f>
        <v>7.5</v>
      </c>
      <c r="AQ5" s="316">
        <v>9</v>
      </c>
      <c r="AR5" s="313">
        <v>7</v>
      </c>
      <c r="AS5" s="313">
        <f aca="true" t="shared" si="15" ref="AS5:AS27">AVERAGE(AQ5:AR5)</f>
        <v>8</v>
      </c>
      <c r="AT5" s="318">
        <f aca="true" t="shared" si="16" ref="AT5:AT27">AS5</f>
        <v>8</v>
      </c>
      <c r="AU5" s="316">
        <v>9</v>
      </c>
      <c r="AV5" s="313">
        <v>9</v>
      </c>
      <c r="AW5" s="313">
        <f aca="true" t="shared" si="17" ref="AW5:AW27">AVERAGE(AU5:AV5)</f>
        <v>9</v>
      </c>
      <c r="AX5" s="318">
        <f aca="true" t="shared" si="18" ref="AX5:AX27">AW5</f>
        <v>9</v>
      </c>
      <c r="AY5" s="316">
        <v>8</v>
      </c>
      <c r="AZ5" s="313">
        <v>8</v>
      </c>
      <c r="BA5" s="313">
        <f aca="true" t="shared" si="19" ref="BA5:BA27">AVERAGE(AY5:AZ5)</f>
        <v>8</v>
      </c>
      <c r="BB5" s="318">
        <f aca="true" t="shared" si="20" ref="BB5:BB27">BA5</f>
        <v>8</v>
      </c>
      <c r="BC5" s="316" t="s">
        <v>339</v>
      </c>
      <c r="BD5" s="313" t="s">
        <v>339</v>
      </c>
      <c r="BE5" s="318" t="s">
        <v>339</v>
      </c>
      <c r="BF5" s="316">
        <v>8</v>
      </c>
      <c r="BG5" s="313">
        <v>7</v>
      </c>
      <c r="BH5" s="313">
        <f aca="true" t="shared" si="21" ref="BH5:BH27">AVERAGE(BF5:BG5)</f>
        <v>7.5</v>
      </c>
      <c r="BI5" s="318">
        <f aca="true" t="shared" si="22" ref="BI5:BI27">BH5</f>
        <v>7.5</v>
      </c>
      <c r="BJ5" s="316">
        <v>7</v>
      </c>
      <c r="BK5" s="313">
        <v>9</v>
      </c>
      <c r="BL5" s="313">
        <f aca="true" t="shared" si="23" ref="BL5:BL27">AVERAGE(BJ5:BK5)</f>
        <v>8</v>
      </c>
      <c r="BM5" s="359">
        <f t="shared" si="0"/>
        <v>8</v>
      </c>
      <c r="BN5" s="309">
        <v>8</v>
      </c>
      <c r="BO5" s="309">
        <f aca="true" t="shared" si="24" ref="BO5:BO27">BN5</f>
        <v>8</v>
      </c>
      <c r="BP5" s="309">
        <f aca="true" t="shared" si="25" ref="BP5:BP27">BN5</f>
        <v>8</v>
      </c>
      <c r="BQ5" s="316">
        <v>8</v>
      </c>
      <c r="BR5" s="313">
        <f aca="true" t="shared" si="26" ref="BR5:BR27">BQ5</f>
        <v>8</v>
      </c>
      <c r="BS5" s="359">
        <v>9</v>
      </c>
      <c r="BT5" s="316">
        <v>8</v>
      </c>
      <c r="BU5" s="313">
        <f aca="true" t="shared" si="27" ref="BU5:BU27">BT5</f>
        <v>8</v>
      </c>
      <c r="BV5" s="313">
        <v>6</v>
      </c>
      <c r="BW5" s="359">
        <v>7</v>
      </c>
      <c r="BX5" s="368">
        <v>7</v>
      </c>
      <c r="BY5" s="313">
        <f>BX5</f>
        <v>7</v>
      </c>
      <c r="BZ5" s="313">
        <v>8</v>
      </c>
      <c r="CA5" s="359">
        <v>8</v>
      </c>
      <c r="CB5" s="316">
        <v>7</v>
      </c>
      <c r="CC5" s="318">
        <f aca="true" t="shared" si="28" ref="CC5:CC27">CB5</f>
        <v>7</v>
      </c>
      <c r="CD5" s="316">
        <v>7</v>
      </c>
      <c r="CE5" s="318">
        <f aca="true" t="shared" si="29" ref="CE5:CE27">CD5</f>
        <v>7</v>
      </c>
      <c r="CF5" s="316">
        <v>8</v>
      </c>
      <c r="CG5" s="359">
        <f aca="true" t="shared" si="30" ref="CG5:CG27">CF5</f>
        <v>8</v>
      </c>
      <c r="CH5" s="335">
        <f t="shared" si="1"/>
        <v>7.722222222222222</v>
      </c>
      <c r="CI5" s="268">
        <f t="shared" si="2"/>
        <v>7.529411764705882</v>
      </c>
      <c r="CJ5" s="307">
        <f t="shared" si="3"/>
        <v>7.619047619047619</v>
      </c>
      <c r="CK5" s="390">
        <f ca="1">SUM(COUNTIF(INDIRECT({"c5","F5","K5","O5","T5","X5","AC5","AH5","AM5","AQ5","AU5","AY5","BC5","BF5","BJ5","BN5","BQ5","BT5","BX5"}),"&gt;8"))</f>
        <v>3</v>
      </c>
      <c r="CL5" s="391">
        <f ca="1">SUM(COUNTIF(INDIRECT({"c5","F5","K5","O5","T5","X5","AC5","AH5","AM5","AQ5","AU5","AY5","BC5","BF5","BJ5","BN5","BQ5","BT5","BX5"}),"&gt;5"))-CK5</f>
        <v>15</v>
      </c>
      <c r="CM5" s="392">
        <f ca="1">SUM(COUNTIF(INDIRECT({"c5","F5","K5","O5","T5","X5","AC5","AH5","AM5","AQ5","AU5","AY5","BC5","BF5","BJ5","BN5","BQ5","BT5","BX5"}),"&gt;2"))-CL5-CK5</f>
        <v>0</v>
      </c>
      <c r="CN5" s="393">
        <f ca="1">SUM(COUNTIF(INDIRECT({"c5","F5","K5","O5","T5","X5","AC5","AH5","AM5","AQ5","AU5","AY5","BC5","BF5","BJ5","BN5","BQ5","BT5","BX5"}),"&lt;3"))-CO5</f>
        <v>0</v>
      </c>
      <c r="CO5" s="417">
        <f ca="1">SUM(COUNTIF(INDIRECT({"c5","F5","K5","O5","T5","X5","AC5","AH5","AM5","AQ5","AU5","AY5","BC5","BF5","BJ5","BN5","BQ5","BT5","BX5"}),"=0"))</f>
        <v>0</v>
      </c>
      <c r="CP5" s="390">
        <f ca="1">SUM(COUNTIF(INDIRECT({"D5","G5","L5","P5","U5","Y5","AD5","AI5","AN5","AR5","AV5","AZ5","BD5","BG5","BK5","CB5","CD5","CF5"}),"&gt;8"))</f>
        <v>4</v>
      </c>
      <c r="CQ5" s="391">
        <f ca="1">SUM(COUNTIF(INDIRECT({"D5","G5","L5","P5","U5","Y5","AD5","AI5","AN5","AR5","AV5","AZ5","BD5","BG5","BK5","CB5","CD5","CF5"}),"&gt;5"))-CP5</f>
        <v>12</v>
      </c>
      <c r="CR5" s="392">
        <f ca="1">SUM(COUNTIF(INDIRECT({"D5","G5","L5","P5","U5","Y5","AD5","AI5","AN5","AR5","AV5","AZ5","BD5","BG5","BK5","CB5","CD5","CF5"}),"&gt;2"))-CQ5-CP5</f>
        <v>1</v>
      </c>
      <c r="CS5" s="393">
        <f ca="1">SUM(COUNTIF(INDIRECT({"D5","G5","L5","P5","U5","Y5","AD5","AI5","AN5","AR5","AV5","AZ5","BD5","BG5","BK5","CB5","CD5","CF5"}),"&lt;3"))-CT5</f>
        <v>0</v>
      </c>
      <c r="CT5" s="417">
        <f ca="1">SUM(COUNTIF(INDIRECT({"D5","G5","L5","P5","U5","Y5","AD5","AI5","AN5","AR5","AV5","AZ5","BD5","BG5","BK5","CB5","CD5","CF5"}),"=0"))</f>
        <v>0</v>
      </c>
      <c r="CU5" s="390">
        <f ca="1">SUM(COUNTIF(INDIRECT({"E5","H5","M5","Q5","V5","Z5","AE5","AJ5","AO5","AS5","AW5","BA5","BE5","BH5","BL5","BO5","BR5","BU5","BY5","CC5","CE5","CG5"}),"&gt;8"))</f>
        <v>3</v>
      </c>
      <c r="CV5" s="391">
        <f ca="1">SUM(COUNTIF(INDIRECT({"E5","H5","M5","Q5","V5","Z5","AE5","AJ5","AO5","AS5","AW5","BA5","BE5","BH5","BL5","BO5","BR5","BU5","BY5","CC5","CE5","CG5"}),"&gt;5"))-CU5</f>
        <v>18</v>
      </c>
      <c r="CW5" s="392">
        <f ca="1">SUM(COUNTIF(INDIRECT({"E5","H5","M5","Q5","V5","Z5","AE5","AJ5","AO5","AS5","AW5","BA5","BE5","BH5","BL5","BO5","BR5","BU5","BY5","CC5","CE5","CG5"}),"&gt;2"))-CV5-CU5</f>
        <v>0</v>
      </c>
      <c r="CX5" s="393">
        <f ca="1">SUM(COUNTIF(INDIRECT({"E5","H5","M5","Q5","V5","Z5","AE5","AJ5","AO5","AS5","AW5","BA5","BE5","BH5","BL5","BO5","BR5","BU5","BY5","CC5","CE5","CG5"}),"&lt;3"))-CY5</f>
        <v>0</v>
      </c>
      <c r="CY5" s="438">
        <f ca="1">SUM(COUNTIF(INDIRECT({"E5","H5","M5","Q5","V5","Z5","AE5","AJ5","AO5","AS5","AW5","BA5","BE5","BH5","BL5","BO5","BR5","BU5","BY5","CC5","CE5","CG5"}),"=0"))</f>
        <v>0</v>
      </c>
      <c r="CZ5" s="5">
        <v>9</v>
      </c>
      <c r="DA5" s="5">
        <v>9</v>
      </c>
    </row>
    <row r="6" spans="1:105" ht="12.75">
      <c r="A6" s="2">
        <v>3</v>
      </c>
      <c r="B6" s="204" t="s">
        <v>157</v>
      </c>
      <c r="C6" s="316">
        <v>7</v>
      </c>
      <c r="D6" s="313">
        <v>6</v>
      </c>
      <c r="E6" s="313">
        <f t="shared" si="4"/>
        <v>6.5</v>
      </c>
      <c r="F6" s="368">
        <v>5</v>
      </c>
      <c r="G6" s="313">
        <v>5</v>
      </c>
      <c r="H6" s="313">
        <f t="shared" si="5"/>
        <v>5</v>
      </c>
      <c r="I6" s="423"/>
      <c r="J6" s="318">
        <v>5</v>
      </c>
      <c r="K6" s="316">
        <v>5</v>
      </c>
      <c r="L6" s="313">
        <v>4</v>
      </c>
      <c r="M6" s="313">
        <f t="shared" si="6"/>
        <v>4.5</v>
      </c>
      <c r="N6" s="359">
        <f t="shared" si="7"/>
        <v>4.5</v>
      </c>
      <c r="O6" s="368">
        <v>6</v>
      </c>
      <c r="P6" s="313">
        <v>7</v>
      </c>
      <c r="Q6" s="313">
        <v>7</v>
      </c>
      <c r="R6" s="423" t="s">
        <v>388</v>
      </c>
      <c r="S6" s="359">
        <v>7</v>
      </c>
      <c r="T6" s="368">
        <v>6</v>
      </c>
      <c r="U6" s="313">
        <v>7</v>
      </c>
      <c r="V6" s="313">
        <f t="shared" si="8"/>
        <v>6.5</v>
      </c>
      <c r="W6" s="359">
        <f t="shared" si="9"/>
        <v>6.5</v>
      </c>
      <c r="X6" s="368">
        <v>2</v>
      </c>
      <c r="Y6" s="313">
        <v>6</v>
      </c>
      <c r="Z6" s="313">
        <f t="shared" si="10"/>
        <v>4</v>
      </c>
      <c r="AA6" s="313">
        <v>7</v>
      </c>
      <c r="AB6" s="318">
        <v>6</v>
      </c>
      <c r="AC6" s="316">
        <v>4</v>
      </c>
      <c r="AD6" s="313">
        <v>5</v>
      </c>
      <c r="AE6" s="313">
        <f t="shared" si="11"/>
        <v>4.5</v>
      </c>
      <c r="AF6" s="313">
        <v>5</v>
      </c>
      <c r="AG6" s="313">
        <v>5</v>
      </c>
      <c r="AH6" s="316">
        <v>4</v>
      </c>
      <c r="AI6" s="313">
        <v>5</v>
      </c>
      <c r="AJ6" s="313">
        <f t="shared" si="12"/>
        <v>4.5</v>
      </c>
      <c r="AK6" s="313">
        <v>4</v>
      </c>
      <c r="AL6" s="359">
        <v>5</v>
      </c>
      <c r="AM6" s="316">
        <v>6</v>
      </c>
      <c r="AN6" s="313">
        <v>7</v>
      </c>
      <c r="AO6" s="313">
        <f t="shared" si="13"/>
        <v>6.5</v>
      </c>
      <c r="AP6" s="318">
        <f t="shared" si="14"/>
        <v>6.5</v>
      </c>
      <c r="AQ6" s="316">
        <v>4</v>
      </c>
      <c r="AR6" s="313">
        <v>5</v>
      </c>
      <c r="AS6" s="313">
        <f t="shared" si="15"/>
        <v>4.5</v>
      </c>
      <c r="AT6" s="318">
        <f t="shared" si="16"/>
        <v>4.5</v>
      </c>
      <c r="AU6" s="316">
        <v>4</v>
      </c>
      <c r="AV6" s="313">
        <v>4</v>
      </c>
      <c r="AW6" s="313">
        <f t="shared" si="17"/>
        <v>4</v>
      </c>
      <c r="AX6" s="318">
        <f t="shared" si="18"/>
        <v>4</v>
      </c>
      <c r="AY6" s="316">
        <v>5</v>
      </c>
      <c r="AZ6" s="313">
        <v>5</v>
      </c>
      <c r="BA6" s="313">
        <f t="shared" si="19"/>
        <v>5</v>
      </c>
      <c r="BB6" s="318">
        <f t="shared" si="20"/>
        <v>5</v>
      </c>
      <c r="BC6" s="316">
        <v>2</v>
      </c>
      <c r="BD6" s="313">
        <v>1</v>
      </c>
      <c r="BE6" s="318">
        <v>1</v>
      </c>
      <c r="BF6" s="316">
        <v>6</v>
      </c>
      <c r="BG6" s="313">
        <v>7</v>
      </c>
      <c r="BH6" s="313">
        <f t="shared" si="21"/>
        <v>6.5</v>
      </c>
      <c r="BI6" s="318">
        <f t="shared" si="22"/>
        <v>6.5</v>
      </c>
      <c r="BJ6" s="316">
        <v>7</v>
      </c>
      <c r="BK6" s="313">
        <v>7</v>
      </c>
      <c r="BL6" s="313">
        <f t="shared" si="23"/>
        <v>7</v>
      </c>
      <c r="BM6" s="359">
        <f t="shared" si="0"/>
        <v>7</v>
      </c>
      <c r="BN6" s="309">
        <v>8</v>
      </c>
      <c r="BO6" s="309">
        <f t="shared" si="24"/>
        <v>8</v>
      </c>
      <c r="BP6" s="309">
        <f t="shared" si="25"/>
        <v>8</v>
      </c>
      <c r="BQ6" s="316">
        <v>6</v>
      </c>
      <c r="BR6" s="313">
        <f t="shared" si="26"/>
        <v>6</v>
      </c>
      <c r="BS6" s="359">
        <v>7</v>
      </c>
      <c r="BT6" s="316">
        <v>6</v>
      </c>
      <c r="BU6" s="313">
        <f t="shared" si="27"/>
        <v>6</v>
      </c>
      <c r="BV6" s="313">
        <v>6</v>
      </c>
      <c r="BW6" s="359">
        <v>6</v>
      </c>
      <c r="BX6" s="368">
        <v>5</v>
      </c>
      <c r="BY6" s="313">
        <f aca="true" t="shared" si="31" ref="BY6:BY27">BX6</f>
        <v>5</v>
      </c>
      <c r="BZ6" s="313">
        <v>7</v>
      </c>
      <c r="CA6" s="359">
        <v>6</v>
      </c>
      <c r="CB6" s="316">
        <v>4</v>
      </c>
      <c r="CC6" s="318">
        <f t="shared" si="28"/>
        <v>4</v>
      </c>
      <c r="CD6" s="316">
        <v>6</v>
      </c>
      <c r="CE6" s="318">
        <f t="shared" si="29"/>
        <v>6</v>
      </c>
      <c r="CF6" s="316">
        <v>5</v>
      </c>
      <c r="CG6" s="359">
        <f t="shared" si="30"/>
        <v>5</v>
      </c>
      <c r="CH6" s="335">
        <f t="shared" si="1"/>
        <v>5.157894736842105</v>
      </c>
      <c r="CI6" s="268">
        <f t="shared" si="2"/>
        <v>5.333333333333333</v>
      </c>
      <c r="CJ6" s="307">
        <f t="shared" si="3"/>
        <v>5.318181818181818</v>
      </c>
      <c r="CK6" s="390">
        <f ca="1">SUM(COUNTIF(INDIRECT({"c6","F6","K6","O6","T6","X6","AC6","AH6","AM6","AQ6","AU6","AY6","BC6","BF6","BJ6","BN6","BQ6","BT6","BX6"}),"&gt;8"))</f>
        <v>0</v>
      </c>
      <c r="CL6" s="391">
        <f ca="1">SUM(COUNTIF(INDIRECT({"c6","F6","K6","O6","T6","X6","AC6","AH6","AM6","AQ6","AU6","AY6","BC6","BF6","BJ6","BN6","BQ6","BT6","BX6"}),"&gt;5"))-CK6</f>
        <v>9</v>
      </c>
      <c r="CM6" s="392">
        <f ca="1">SUM(COUNTIF(INDIRECT({"c6","F6","K6","O6","T6","X6","AC6","AH6","AM6","AQ6","AU6","AY6","BC6","BF6","BJ6","BN6","BQ6","BT6","BX6"}),"&gt;2"))-CL6-CK6</f>
        <v>8</v>
      </c>
      <c r="CN6" s="393">
        <f ca="1">SUM(COUNTIF(INDIRECT({"c6","F6","K6","O6","T6","X6","AC6","AH6","AM6","AQ6","AU6","AY6","BC6","BF6","BJ6","BN6","BQ6","BT6","BX6"}),"&lt;3"))-CO6</f>
        <v>2</v>
      </c>
      <c r="CO6" s="417">
        <f ca="1">SUM(COUNTIF(INDIRECT({"c6","F6","K6","O6","T6","X6","AC6","AH6","AM6","AQ6","AU6","AY6","BC6","BF6","BJ6","BN6","BQ6","BT6","BX6"}),"=0"))</f>
        <v>0</v>
      </c>
      <c r="CP6" s="390">
        <f ca="1">SUM(COUNTIF(INDIRECT({"D6","G6","L6","P6","U6","Y6","AD6","AI6","AN6","AR6","AV6","AZ6","BD6","BG6","BK6","CB6","CD6","CF6"}),"&gt;8"))</f>
        <v>0</v>
      </c>
      <c r="CQ6" s="391">
        <f ca="1">SUM(COUNTIF(INDIRECT({"D6","G6","L6","P6","U6","Y6","AD6","AI6","AN6","AR6","AV6","AZ6","BD6","BG6","BK6","CB6","CD6","CF6"}),"&gt;5"))-CP6</f>
        <v>8</v>
      </c>
      <c r="CR6" s="392">
        <f ca="1">SUM(COUNTIF(INDIRECT({"D6","G6","L6","P6","U6","Y6","AD6","AI6","AN6","AR6","AV6","AZ6","BD6","BG6","BK6","CB6","CD6","CF6"}),"&gt;2"))-CQ6-CP6</f>
        <v>9</v>
      </c>
      <c r="CS6" s="393">
        <f ca="1">SUM(COUNTIF(INDIRECT({"D6","G6","L6","P6","U6","Y6","AD6","AI6","AN6","AR6","AV6","AZ6","BD6","BG6","BK6","CB6","CD6","CF6"}),"&lt;3"))-CT6</f>
        <v>1</v>
      </c>
      <c r="CT6" s="417">
        <f ca="1">SUM(COUNTIF(INDIRECT({"D6","G6","L6","P6","U6","Y6","AD6","AI6","AN6","AR6","AV6","AZ6","BD6","BG6","BK6","CB6","CD6","CF6"}),"=0"))</f>
        <v>0</v>
      </c>
      <c r="CU6" s="390">
        <f ca="1">SUM(COUNTIF(INDIRECT({"E6","H6","M6","Q6","V6","Z6","AE6","AJ6","AO6","AS6","AW6","BA6","BE6","BH6","BL6","BO6","BR6","BU6","BY6","CC6","CE6","CG6"}),"&gt;8"))</f>
        <v>0</v>
      </c>
      <c r="CV6" s="391">
        <f ca="1">SUM(COUNTIF(INDIRECT({"E6","H6","M6","Q6","V6","Z6","AE6","AJ6","AO6","AS6","AW6","BA6","BE6","BH6","BL6","BO6","BR6","BU6","BY6","CC6","CE6","CG6"}),"&gt;5"))-CU6</f>
        <v>10</v>
      </c>
      <c r="CW6" s="392">
        <f ca="1">SUM(COUNTIF(INDIRECT({"E6","H6","M6","Q6","V6","Z6","AE6","AJ6","AO6","AS6","AW6","BA6","BE6","BH6","BL6","BO6","BR6","BU6","BY6","CC6","CE6","CG6"}),"&gt;2"))-CV6-CU6</f>
        <v>11</v>
      </c>
      <c r="CX6" s="393">
        <f ca="1">SUM(COUNTIF(INDIRECT({"E6","H6","M6","Q6","V6","Z6","AE6","AJ6","AO6","AS6","AW6","BA6","BE6","BH6","BL6","BO6","BR6","BU6","BY6","CC6","CE6","CG6"}),"&lt;3"))-CY6</f>
        <v>1</v>
      </c>
      <c r="CY6" s="438">
        <f ca="1">SUM(COUNTIF(INDIRECT({"E6","H6","M6","Q6","V6","Z6","AE6","AJ6","AO6","AS6","AW6","BA6","BE6","BH6","BL6","BO6","BR6","BU6","BY6","CC6","CE6","CG6"}),"=0"))</f>
        <v>0</v>
      </c>
      <c r="CZ6" s="5">
        <v>7</v>
      </c>
      <c r="DA6" s="5">
        <v>6</v>
      </c>
    </row>
    <row r="7" spans="1:105" ht="12.75">
      <c r="A7" s="2">
        <v>4</v>
      </c>
      <c r="B7" s="204" t="s">
        <v>158</v>
      </c>
      <c r="C7" s="316">
        <v>6</v>
      </c>
      <c r="D7" s="313">
        <v>3</v>
      </c>
      <c r="E7" s="313">
        <f t="shared" si="4"/>
        <v>4.5</v>
      </c>
      <c r="F7" s="368">
        <v>4</v>
      </c>
      <c r="G7" s="313">
        <v>3</v>
      </c>
      <c r="H7" s="313">
        <f t="shared" si="5"/>
        <v>3.5</v>
      </c>
      <c r="I7" s="423"/>
      <c r="J7" s="318">
        <v>4</v>
      </c>
      <c r="K7" s="316">
        <v>5</v>
      </c>
      <c r="L7" s="313">
        <v>3</v>
      </c>
      <c r="M7" s="313">
        <f t="shared" si="6"/>
        <v>4</v>
      </c>
      <c r="N7" s="359">
        <f t="shared" si="7"/>
        <v>4</v>
      </c>
      <c r="O7" s="368">
        <v>4</v>
      </c>
      <c r="P7" s="313">
        <v>5</v>
      </c>
      <c r="Q7" s="313">
        <v>5</v>
      </c>
      <c r="R7" s="423" t="s">
        <v>389</v>
      </c>
      <c r="S7" s="359">
        <v>5</v>
      </c>
      <c r="T7" s="368">
        <v>3</v>
      </c>
      <c r="U7" s="313">
        <v>5</v>
      </c>
      <c r="V7" s="313">
        <f t="shared" si="8"/>
        <v>4</v>
      </c>
      <c r="W7" s="359">
        <f t="shared" si="9"/>
        <v>4</v>
      </c>
      <c r="X7" s="368">
        <v>3</v>
      </c>
      <c r="Y7" s="313">
        <v>3</v>
      </c>
      <c r="Z7" s="313">
        <f t="shared" si="10"/>
        <v>3</v>
      </c>
      <c r="AA7" s="313">
        <v>2</v>
      </c>
      <c r="AB7" s="318">
        <v>3</v>
      </c>
      <c r="AC7" s="316">
        <v>3</v>
      </c>
      <c r="AD7" s="313">
        <v>3</v>
      </c>
      <c r="AE7" s="313">
        <f t="shared" si="11"/>
        <v>3</v>
      </c>
      <c r="AF7" s="313">
        <v>4</v>
      </c>
      <c r="AG7" s="313">
        <v>4</v>
      </c>
      <c r="AH7" s="316">
        <v>3</v>
      </c>
      <c r="AI7" s="313">
        <v>5</v>
      </c>
      <c r="AJ7" s="313">
        <f t="shared" si="12"/>
        <v>4</v>
      </c>
      <c r="AK7" s="313">
        <v>3</v>
      </c>
      <c r="AL7" s="359">
        <v>4</v>
      </c>
      <c r="AM7" s="316">
        <v>7</v>
      </c>
      <c r="AN7" s="313">
        <v>3</v>
      </c>
      <c r="AO7" s="313">
        <f t="shared" si="13"/>
        <v>5</v>
      </c>
      <c r="AP7" s="318">
        <f t="shared" si="14"/>
        <v>5</v>
      </c>
      <c r="AQ7" s="316">
        <v>5</v>
      </c>
      <c r="AR7" s="313">
        <v>3</v>
      </c>
      <c r="AS7" s="313">
        <f t="shared" si="15"/>
        <v>4</v>
      </c>
      <c r="AT7" s="318">
        <f t="shared" si="16"/>
        <v>4</v>
      </c>
      <c r="AU7" s="316">
        <v>4</v>
      </c>
      <c r="AV7" s="313">
        <v>4</v>
      </c>
      <c r="AW7" s="313">
        <f t="shared" si="17"/>
        <v>4</v>
      </c>
      <c r="AX7" s="318">
        <f t="shared" si="18"/>
        <v>4</v>
      </c>
      <c r="AY7" s="316">
        <v>5</v>
      </c>
      <c r="AZ7" s="313">
        <v>4</v>
      </c>
      <c r="BA7" s="313">
        <f t="shared" si="19"/>
        <v>4.5</v>
      </c>
      <c r="BB7" s="318">
        <f t="shared" si="20"/>
        <v>4.5</v>
      </c>
      <c r="BC7" s="316">
        <v>1</v>
      </c>
      <c r="BD7" s="313">
        <v>1</v>
      </c>
      <c r="BE7" s="318">
        <f aca="true" t="shared" si="32" ref="BE7:BE27">AVERAGE(BC7:BD7)</f>
        <v>1</v>
      </c>
      <c r="BF7" s="316">
        <v>4</v>
      </c>
      <c r="BG7" s="313">
        <v>6</v>
      </c>
      <c r="BH7" s="313">
        <f t="shared" si="21"/>
        <v>5</v>
      </c>
      <c r="BI7" s="318">
        <f t="shared" si="22"/>
        <v>5</v>
      </c>
      <c r="BJ7" s="316">
        <v>6</v>
      </c>
      <c r="BK7" s="313">
        <v>8</v>
      </c>
      <c r="BL7" s="313">
        <f>AVERAGE(BJ7:BK7)</f>
        <v>7</v>
      </c>
      <c r="BM7" s="359">
        <f>BL7</f>
        <v>7</v>
      </c>
      <c r="BN7" s="309">
        <v>5</v>
      </c>
      <c r="BO7" s="309">
        <f t="shared" si="24"/>
        <v>5</v>
      </c>
      <c r="BP7" s="309">
        <f t="shared" si="25"/>
        <v>5</v>
      </c>
      <c r="BQ7" s="316">
        <v>5</v>
      </c>
      <c r="BR7" s="313">
        <f t="shared" si="26"/>
        <v>5</v>
      </c>
      <c r="BS7" s="359">
        <v>6</v>
      </c>
      <c r="BT7" s="316">
        <v>4</v>
      </c>
      <c r="BU7" s="313">
        <f t="shared" si="27"/>
        <v>4</v>
      </c>
      <c r="BV7" s="313">
        <v>4</v>
      </c>
      <c r="BW7" s="359">
        <v>4</v>
      </c>
      <c r="BX7" s="368">
        <v>6</v>
      </c>
      <c r="BY7" s="313">
        <f t="shared" si="31"/>
        <v>6</v>
      </c>
      <c r="BZ7" s="313">
        <v>5</v>
      </c>
      <c r="CA7" s="359">
        <v>5</v>
      </c>
      <c r="CB7" s="316">
        <v>4</v>
      </c>
      <c r="CC7" s="318">
        <f t="shared" si="28"/>
        <v>4</v>
      </c>
      <c r="CD7" s="316">
        <v>5</v>
      </c>
      <c r="CE7" s="318">
        <f t="shared" si="29"/>
        <v>5</v>
      </c>
      <c r="CF7" s="316">
        <v>4</v>
      </c>
      <c r="CG7" s="359">
        <f t="shared" si="30"/>
        <v>4</v>
      </c>
      <c r="CH7" s="335">
        <f t="shared" si="1"/>
        <v>4.368421052631579</v>
      </c>
      <c r="CI7" s="268">
        <f t="shared" si="2"/>
        <v>4</v>
      </c>
      <c r="CJ7" s="307">
        <f t="shared" si="3"/>
        <v>4.295454545454546</v>
      </c>
      <c r="CK7" s="390">
        <f ca="1">SUM(COUNTIF(INDIRECT({"c7","F7","K7","O7","T7","X7","AC7","AH7","AM7","AQ7","AU7","AY7","BC7","BF7","BJ7","BN7","BQ7","BT7","BX7"}),"&gt;8"))</f>
        <v>0</v>
      </c>
      <c r="CL7" s="391">
        <f ca="1">SUM(COUNTIF(INDIRECT({"c7","F7","K7","O7","T7","X7","AC7","AH7","AM7","AQ7","AU7","AY7","BC7","BF7","BJ7","BN7","BQ7","BT7","BX7"}),"&gt;5"))-CK7</f>
        <v>4</v>
      </c>
      <c r="CM7" s="392">
        <f ca="1">SUM(COUNTIF(INDIRECT({"c7","F7","K7","O7","T7","X7","AC7","AH7","AM7","AQ7","AU7","AY7","BC7","BF7","BJ7","BN7","BQ7","BT7","BX7"}),"&gt;2"))-CL7-CK7</f>
        <v>14</v>
      </c>
      <c r="CN7" s="393">
        <f ca="1">SUM(COUNTIF(INDIRECT({"c7","F7","K7","O7","T7","X7","AC7","AH7","AM7","AQ7","AU7","AY7","BC7","BF7","BJ7","BN7","BQ7","BT7","BX7"}),"&lt;3"))-CO7</f>
        <v>1</v>
      </c>
      <c r="CO7" s="417">
        <f ca="1">SUM(COUNTIF(INDIRECT({"c7","F7","K7","O7","T7","X7","AC7","AH7","AM7","AQ7","AU7","AY7","BC7","BF7","BJ7","BN7","BQ7","BT7","BX7"}),"=0"))</f>
        <v>0</v>
      </c>
      <c r="CP7" s="390">
        <f ca="1">SUM(COUNTIF(INDIRECT({"D7","G7","L7","P7","U7","Y7","AD7","AI7","AN7","AR7","AV7","AZ7","BD7","BG7","BK7","CB7","CD7","CF7"}),"&gt;8"))</f>
        <v>0</v>
      </c>
      <c r="CQ7" s="391">
        <f ca="1">SUM(COUNTIF(INDIRECT({"D7","G7","L7","P7","U7","Y7","AD7","AI7","AN7","AR7","AV7","AZ7","BD7","BG7","BK7","CB7","CD7","CF7"}),"&gt;5"))-CP7</f>
        <v>2</v>
      </c>
      <c r="CR7" s="392">
        <f ca="1">SUM(COUNTIF(INDIRECT({"D7","G7","L7","P7","U7","Y7","AD7","AI7","AN7","AR7","AV7","AZ7","BD7","BG7","BK7","CB7","CD7","CF7"}),"&gt;2"))-CQ7-CP7</f>
        <v>15</v>
      </c>
      <c r="CS7" s="393">
        <f ca="1">SUM(COUNTIF(INDIRECT({"D7","G7","L7","P7","U7","Y7","AD7","AI7","AN7","AR7","AV7","AZ7","BD7","BG7","BK7","CB7","CD7","CF7"}),"&lt;3"))-CT7</f>
        <v>1</v>
      </c>
      <c r="CT7" s="417">
        <f ca="1">SUM(COUNTIF(INDIRECT({"D7","G7","L7","P7","U7","Y7","AD7","AI7","AN7","AR7","AV7","AZ7","BD7","BG7","BK7","CB7","CD7","CF7"}),"=0"))</f>
        <v>0</v>
      </c>
      <c r="CU7" s="390">
        <f ca="1">SUM(COUNTIF(INDIRECT({"E7","H7","M7","Q7","V7","Z7","AE7","AJ7","AO7","AS7","AW7","BA7","BE7","BH7","BL7","BO7","BR7","BU7","BY7","CC7","CE7","CG7"}),"&gt;8"))</f>
        <v>0</v>
      </c>
      <c r="CV7" s="391">
        <f ca="1">SUM(COUNTIF(INDIRECT({"E7","H7","M7","Q7","V7","Z7","AE7","AJ7","AO7","AS7","AW7","BA7","BE7","BH7","BL7","BO7","BR7","BU7","BY7","CC7","CE7","CG7"}),"&gt;5"))-CU7</f>
        <v>2</v>
      </c>
      <c r="CW7" s="392">
        <f ca="1">SUM(COUNTIF(INDIRECT({"E7","H7","M7","Q7","V7","Z7","AE7","AJ7","AO7","AS7","AW7","BA7","BE7","BH7","BL7","BO7","BR7","BU7","BY7","CC7","CE7","CG7"}),"&gt;2"))-CV7-CU7</f>
        <v>19</v>
      </c>
      <c r="CX7" s="393">
        <f ca="1">SUM(COUNTIF(INDIRECT({"E7","H7","M7","Q7","V7","Z7","AE7","AJ7","AO7","AS7","AW7","BA7","BE7","BH7","BL7","BO7","BR7","BU7","BY7","CC7","CE7","CG7"}),"&lt;3"))-CY7</f>
        <v>1</v>
      </c>
      <c r="CY7" s="438">
        <f ca="1">SUM(COUNTIF(INDIRECT({"E7","H7","M7","Q7","V7","Z7","AE7","AJ7","AO7","AS7","AW7","BA7","BE7","BH7","BL7","BO7","BR7","BU7","BY7","CC7","CE7","CG7"}),"=0"))</f>
        <v>0</v>
      </c>
      <c r="CZ7" s="5">
        <v>6</v>
      </c>
      <c r="DA7" s="5">
        <v>3</v>
      </c>
    </row>
    <row r="8" spans="1:105" ht="12.75">
      <c r="A8" s="2">
        <v>5</v>
      </c>
      <c r="B8" s="204" t="s">
        <v>159</v>
      </c>
      <c r="C8" s="316">
        <v>8</v>
      </c>
      <c r="D8" s="313">
        <v>7</v>
      </c>
      <c r="E8" s="313">
        <f t="shared" si="4"/>
        <v>7.5</v>
      </c>
      <c r="F8" s="368">
        <v>3</v>
      </c>
      <c r="G8" s="313">
        <v>4</v>
      </c>
      <c r="H8" s="313">
        <f t="shared" si="5"/>
        <v>3.5</v>
      </c>
      <c r="I8" s="423"/>
      <c r="J8" s="318">
        <v>4</v>
      </c>
      <c r="K8" s="316">
        <v>3</v>
      </c>
      <c r="L8" s="313">
        <v>5</v>
      </c>
      <c r="M8" s="313">
        <f t="shared" si="6"/>
        <v>4</v>
      </c>
      <c r="N8" s="359">
        <v>5</v>
      </c>
      <c r="O8" s="368">
        <v>5</v>
      </c>
      <c r="P8" s="313">
        <v>6</v>
      </c>
      <c r="Q8" s="313">
        <v>6</v>
      </c>
      <c r="R8" s="423" t="s">
        <v>390</v>
      </c>
      <c r="S8" s="359">
        <v>6</v>
      </c>
      <c r="T8" s="368">
        <v>4</v>
      </c>
      <c r="U8" s="313">
        <v>7</v>
      </c>
      <c r="V8" s="313">
        <f t="shared" si="8"/>
        <v>5.5</v>
      </c>
      <c r="W8" s="359">
        <f t="shared" si="9"/>
        <v>5.5</v>
      </c>
      <c r="X8" s="368">
        <v>4</v>
      </c>
      <c r="Y8" s="313">
        <v>4</v>
      </c>
      <c r="Z8" s="313">
        <f t="shared" si="10"/>
        <v>4</v>
      </c>
      <c r="AA8" s="313">
        <v>5</v>
      </c>
      <c r="AB8" s="318">
        <v>5</v>
      </c>
      <c r="AC8" s="316">
        <v>6</v>
      </c>
      <c r="AD8" s="313">
        <v>4</v>
      </c>
      <c r="AE8" s="313">
        <f t="shared" si="11"/>
        <v>5</v>
      </c>
      <c r="AF8" s="313">
        <v>4</v>
      </c>
      <c r="AG8" s="313">
        <v>5</v>
      </c>
      <c r="AH8" s="316">
        <v>3</v>
      </c>
      <c r="AI8" s="313">
        <v>4</v>
      </c>
      <c r="AJ8" s="313">
        <f t="shared" si="12"/>
        <v>3.5</v>
      </c>
      <c r="AK8" s="313">
        <v>4</v>
      </c>
      <c r="AL8" s="359">
        <v>4</v>
      </c>
      <c r="AM8" s="316">
        <v>7</v>
      </c>
      <c r="AN8" s="313">
        <v>8</v>
      </c>
      <c r="AO8" s="313">
        <f t="shared" si="13"/>
        <v>7.5</v>
      </c>
      <c r="AP8" s="318">
        <f t="shared" si="14"/>
        <v>7.5</v>
      </c>
      <c r="AQ8" s="316">
        <v>7</v>
      </c>
      <c r="AR8" s="313">
        <v>6</v>
      </c>
      <c r="AS8" s="313">
        <f t="shared" si="15"/>
        <v>6.5</v>
      </c>
      <c r="AT8" s="318">
        <f t="shared" si="16"/>
        <v>6.5</v>
      </c>
      <c r="AU8" s="316">
        <v>5</v>
      </c>
      <c r="AV8" s="313">
        <v>5</v>
      </c>
      <c r="AW8" s="313">
        <f t="shared" si="17"/>
        <v>5</v>
      </c>
      <c r="AX8" s="318">
        <f t="shared" si="18"/>
        <v>5</v>
      </c>
      <c r="AY8" s="316">
        <v>5</v>
      </c>
      <c r="AZ8" s="313">
        <v>5</v>
      </c>
      <c r="BA8" s="313">
        <f t="shared" si="19"/>
        <v>5</v>
      </c>
      <c r="BB8" s="318">
        <f t="shared" si="20"/>
        <v>5</v>
      </c>
      <c r="BC8" s="316" t="s">
        <v>339</v>
      </c>
      <c r="BD8" s="313" t="s">
        <v>339</v>
      </c>
      <c r="BE8" s="318" t="s">
        <v>339</v>
      </c>
      <c r="BF8" s="316">
        <v>6</v>
      </c>
      <c r="BG8" s="313">
        <v>5</v>
      </c>
      <c r="BH8" s="313">
        <f t="shared" si="21"/>
        <v>5.5</v>
      </c>
      <c r="BI8" s="318">
        <f t="shared" si="22"/>
        <v>5.5</v>
      </c>
      <c r="BJ8" s="316">
        <v>6</v>
      </c>
      <c r="BK8" s="313">
        <v>8</v>
      </c>
      <c r="BL8" s="313">
        <f t="shared" si="23"/>
        <v>7</v>
      </c>
      <c r="BM8" s="359">
        <f t="shared" si="0"/>
        <v>7</v>
      </c>
      <c r="BN8" s="309">
        <v>7</v>
      </c>
      <c r="BO8" s="309">
        <f t="shared" si="24"/>
        <v>7</v>
      </c>
      <c r="BP8" s="309">
        <f t="shared" si="25"/>
        <v>7</v>
      </c>
      <c r="BQ8" s="316">
        <v>5</v>
      </c>
      <c r="BR8" s="313">
        <f t="shared" si="26"/>
        <v>5</v>
      </c>
      <c r="BS8" s="359">
        <v>5</v>
      </c>
      <c r="BT8" s="316">
        <v>5</v>
      </c>
      <c r="BU8" s="313">
        <f t="shared" si="27"/>
        <v>5</v>
      </c>
      <c r="BV8" s="313">
        <v>4</v>
      </c>
      <c r="BW8" s="359">
        <v>5</v>
      </c>
      <c r="BX8" s="368">
        <v>5</v>
      </c>
      <c r="BY8" s="313">
        <f t="shared" si="31"/>
        <v>5</v>
      </c>
      <c r="BZ8" s="313">
        <v>4</v>
      </c>
      <c r="CA8" s="359">
        <v>5</v>
      </c>
      <c r="CB8" s="316">
        <v>5</v>
      </c>
      <c r="CC8" s="318">
        <f t="shared" si="28"/>
        <v>5</v>
      </c>
      <c r="CD8" s="316">
        <v>5</v>
      </c>
      <c r="CE8" s="318">
        <f t="shared" si="29"/>
        <v>5</v>
      </c>
      <c r="CF8" s="316">
        <v>4</v>
      </c>
      <c r="CG8" s="359">
        <f t="shared" si="30"/>
        <v>4</v>
      </c>
      <c r="CH8" s="335">
        <f t="shared" si="1"/>
        <v>5.222222222222222</v>
      </c>
      <c r="CI8" s="268">
        <f t="shared" si="2"/>
        <v>5.411764705882353</v>
      </c>
      <c r="CJ8" s="307">
        <f t="shared" si="3"/>
        <v>5.309523809523809</v>
      </c>
      <c r="CK8" s="390">
        <f ca="1">SUM(COUNTIF(INDIRECT({"c8","F8","K8","O8","T8","X8","AC8","AH8","AM8","AQ8","AU8","AY8","BC8","BF8","BJ8","BN8","BQ8","BT8","BX8"}),"&gt;8"))</f>
        <v>0</v>
      </c>
      <c r="CL8" s="391">
        <f ca="1">SUM(COUNTIF(INDIRECT({"c8","F8","K8","O8","T8","X8","AC8","AH8","AM8","AQ8","AU8","AY8","BC8","BF8","BJ8","BN8","BQ8","BT8","BX8"}),"&gt;5"))-CK8</f>
        <v>7</v>
      </c>
      <c r="CM8" s="392">
        <f ca="1">SUM(COUNTIF(INDIRECT({"c8","F8","K8","O8","T8","X8","AC8","AH8","AM8","AQ8","AU8","AY8","BC8","BF8","BJ8","BN8","BQ8","BT8","BX8"}),"&gt;2"))-CL8-CK8</f>
        <v>11</v>
      </c>
      <c r="CN8" s="393">
        <f ca="1">SUM(COUNTIF(INDIRECT({"c8","F8","K8","O8","T8","X8","AC8","AH8","AM8","AQ8","AU8","AY8","BC8","BF8","BJ8","BN8","BQ8","BT8","BX8"}),"&lt;3"))-CO8</f>
        <v>0</v>
      </c>
      <c r="CO8" s="417">
        <f ca="1">SUM(COUNTIF(INDIRECT({"c8","F8","K8","O8","T8","X8","AC8","AH8","AM8","AQ8","AU8","AY8","BC8","BF8","BJ8","BN8","BQ8","BT8","BX8"}),"=0"))</f>
        <v>0</v>
      </c>
      <c r="CP8" s="390">
        <f ca="1">SUM(COUNTIF(INDIRECT({"D8","G8","L8","P8","U8","Y8","AD8","AI8","AN8","AR8","AV8","AZ8","BD8","BG8","BK8","CB8","CD8","CF8"}),"&gt;8"))</f>
        <v>0</v>
      </c>
      <c r="CQ8" s="391">
        <f ca="1">SUM(COUNTIF(INDIRECT({"D8","G8","L8","P8","U8","Y8","AD8","AI8","AN8","AR8","AV8","AZ8","BD8","BG8","BK8","CB8","CD8","CF8"}),"&gt;5"))-CP8</f>
        <v>6</v>
      </c>
      <c r="CR8" s="392">
        <f ca="1">SUM(COUNTIF(INDIRECT({"D8","G8","L8","P8","U8","Y8","AD8","AI8","AN8","AR8","AV8","AZ8","BD8","BG8","BK8","CB8","CD8","CF8"}),"&gt;2"))-CQ8-CP8</f>
        <v>11</v>
      </c>
      <c r="CS8" s="393">
        <f ca="1">SUM(COUNTIF(INDIRECT({"D8","G8","L8","P8","U8","Y8","AD8","AI8","AN8","AR8","AV8","AZ8","BD8","BG8","BK8","CB8","CD8","CF8"}),"&lt;3"))-CT8</f>
        <v>0</v>
      </c>
      <c r="CT8" s="417">
        <f ca="1">SUM(COUNTIF(INDIRECT({"D8","G8","L8","P8","U8","Y8","AD8","AI8","AN8","AR8","AV8","AZ8","BD8","BG8","BK8","CB8","CD8","CF8"}),"=0"))</f>
        <v>0</v>
      </c>
      <c r="CU8" s="390">
        <f ca="1">SUM(COUNTIF(INDIRECT({"E8","H8","M8","Q8","V8","Z8","AE8","AJ8","AO8","AS8","AW8","BA8","BE8","BH8","BL8","BO8","BR8","BU8","BY8","CC8","CE8","CG8"}),"&gt;8"))</f>
        <v>0</v>
      </c>
      <c r="CV8" s="391">
        <f ca="1">SUM(COUNTIF(INDIRECT({"E8","H8","M8","Q8","V8","Z8","AE8","AJ8","AO8","AS8","AW8","BA8","BE8","BH8","BL8","BO8","BR8","BU8","BY8","CC8","CE8","CG8"}),"&gt;5"))-CU8</f>
        <v>8</v>
      </c>
      <c r="CW8" s="392">
        <f ca="1">SUM(COUNTIF(INDIRECT({"E8","H8","M8","Q8","V8","Z8","AE8","AJ8","AO8","AS8","AW8","BA8","BE8","BH8","BL8","BO8","BR8","BU8","BY8","CC8","CE8","CG8"}),"&gt;2"))-CV8-CU8</f>
        <v>13</v>
      </c>
      <c r="CX8" s="393">
        <f ca="1">SUM(COUNTIF(INDIRECT({"E8","H8","M8","Q8","V8","Z8","AE8","AJ8","AO8","AS8","AW8","BA8","BE8","BH8","BL8","BO8","BR8","BU8","BY8","CC8","CE8","CG8"}),"&lt;3"))-CY8</f>
        <v>0</v>
      </c>
      <c r="CY8" s="438">
        <f ca="1">SUM(COUNTIF(INDIRECT({"E8","H8","M8","Q8","V8","Z8","AE8","AJ8","AO8","AS8","AW8","BA8","BE8","BH8","BL8","BO8","BR8","BU8","BY8","CC8","CE8","CG8"}),"=0"))</f>
        <v>0</v>
      </c>
      <c r="CZ8" s="5">
        <v>8</v>
      </c>
      <c r="DA8" s="5">
        <v>7</v>
      </c>
    </row>
    <row r="9" spans="1:105" ht="12.75">
      <c r="A9" s="2">
        <v>6</v>
      </c>
      <c r="B9" s="204" t="s">
        <v>160</v>
      </c>
      <c r="C9" s="316">
        <v>8</v>
      </c>
      <c r="D9" s="313">
        <v>7</v>
      </c>
      <c r="E9" s="313">
        <f t="shared" si="4"/>
        <v>7.5</v>
      </c>
      <c r="F9" s="368">
        <v>3</v>
      </c>
      <c r="G9" s="313">
        <v>5</v>
      </c>
      <c r="H9" s="313">
        <f t="shared" si="5"/>
        <v>4</v>
      </c>
      <c r="I9" s="423" t="s">
        <v>397</v>
      </c>
      <c r="J9" s="318">
        <v>5</v>
      </c>
      <c r="K9" s="316">
        <v>6</v>
      </c>
      <c r="L9" s="313">
        <v>6</v>
      </c>
      <c r="M9" s="313">
        <f t="shared" si="6"/>
        <v>6</v>
      </c>
      <c r="N9" s="359">
        <f t="shared" si="7"/>
        <v>6</v>
      </c>
      <c r="O9" s="368">
        <v>5</v>
      </c>
      <c r="P9" s="313">
        <v>5</v>
      </c>
      <c r="Q9" s="313">
        <v>5</v>
      </c>
      <c r="R9" s="423"/>
      <c r="S9" s="359">
        <v>5</v>
      </c>
      <c r="T9" s="368">
        <v>5</v>
      </c>
      <c r="U9" s="313">
        <v>7</v>
      </c>
      <c r="V9" s="313">
        <f t="shared" si="8"/>
        <v>6</v>
      </c>
      <c r="W9" s="359">
        <f t="shared" si="9"/>
        <v>6</v>
      </c>
      <c r="X9" s="368">
        <v>5</v>
      </c>
      <c r="Y9" s="313">
        <v>5</v>
      </c>
      <c r="Z9" s="313">
        <f t="shared" si="10"/>
        <v>5</v>
      </c>
      <c r="AA9" s="313">
        <v>6</v>
      </c>
      <c r="AB9" s="318">
        <v>6</v>
      </c>
      <c r="AC9" s="316">
        <v>4</v>
      </c>
      <c r="AD9" s="313">
        <v>5</v>
      </c>
      <c r="AE9" s="313">
        <f t="shared" si="11"/>
        <v>4.5</v>
      </c>
      <c r="AF9" s="313">
        <v>5</v>
      </c>
      <c r="AG9" s="313">
        <v>5</v>
      </c>
      <c r="AH9" s="316">
        <v>4</v>
      </c>
      <c r="AI9" s="313">
        <v>3</v>
      </c>
      <c r="AJ9" s="313">
        <f t="shared" si="12"/>
        <v>3.5</v>
      </c>
      <c r="AK9" s="313">
        <v>3</v>
      </c>
      <c r="AL9" s="359">
        <v>4</v>
      </c>
      <c r="AM9" s="316">
        <v>5</v>
      </c>
      <c r="AN9" s="313">
        <v>8</v>
      </c>
      <c r="AO9" s="313">
        <f t="shared" si="13"/>
        <v>6.5</v>
      </c>
      <c r="AP9" s="318">
        <f t="shared" si="14"/>
        <v>6.5</v>
      </c>
      <c r="AQ9" s="316">
        <v>5</v>
      </c>
      <c r="AR9" s="313">
        <v>8</v>
      </c>
      <c r="AS9" s="313">
        <f t="shared" si="15"/>
        <v>6.5</v>
      </c>
      <c r="AT9" s="318">
        <f t="shared" si="16"/>
        <v>6.5</v>
      </c>
      <c r="AU9" s="316">
        <v>4</v>
      </c>
      <c r="AV9" s="313">
        <v>4</v>
      </c>
      <c r="AW9" s="313">
        <f t="shared" si="17"/>
        <v>4</v>
      </c>
      <c r="AX9" s="318">
        <f t="shared" si="18"/>
        <v>4</v>
      </c>
      <c r="AY9" s="316">
        <v>5</v>
      </c>
      <c r="AZ9" s="313">
        <v>5</v>
      </c>
      <c r="BA9" s="313">
        <f t="shared" si="19"/>
        <v>5</v>
      </c>
      <c r="BB9" s="318">
        <f t="shared" si="20"/>
        <v>5</v>
      </c>
      <c r="BC9" s="316">
        <v>6</v>
      </c>
      <c r="BD9" s="313">
        <v>7</v>
      </c>
      <c r="BE9" s="318">
        <f t="shared" si="32"/>
        <v>6.5</v>
      </c>
      <c r="BF9" s="316">
        <v>7</v>
      </c>
      <c r="BG9" s="313">
        <v>6</v>
      </c>
      <c r="BH9" s="313">
        <f t="shared" si="21"/>
        <v>6.5</v>
      </c>
      <c r="BI9" s="318">
        <f t="shared" si="22"/>
        <v>6.5</v>
      </c>
      <c r="BJ9" s="316">
        <v>5</v>
      </c>
      <c r="BK9" s="313">
        <v>8</v>
      </c>
      <c r="BL9" s="313">
        <f t="shared" si="23"/>
        <v>6.5</v>
      </c>
      <c r="BM9" s="359">
        <f t="shared" si="0"/>
        <v>6.5</v>
      </c>
      <c r="BN9" s="309">
        <v>7</v>
      </c>
      <c r="BO9" s="309">
        <f t="shared" si="24"/>
        <v>7</v>
      </c>
      <c r="BP9" s="309">
        <f t="shared" si="25"/>
        <v>7</v>
      </c>
      <c r="BQ9" s="316">
        <v>5</v>
      </c>
      <c r="BR9" s="313">
        <f t="shared" si="26"/>
        <v>5</v>
      </c>
      <c r="BS9" s="359">
        <v>6</v>
      </c>
      <c r="BT9" s="316">
        <v>5</v>
      </c>
      <c r="BU9" s="313">
        <f t="shared" si="27"/>
        <v>5</v>
      </c>
      <c r="BV9" s="313">
        <v>5</v>
      </c>
      <c r="BW9" s="359">
        <v>5</v>
      </c>
      <c r="BX9" s="368">
        <v>4</v>
      </c>
      <c r="BY9" s="313">
        <f t="shared" si="31"/>
        <v>4</v>
      </c>
      <c r="BZ9" s="313">
        <v>6</v>
      </c>
      <c r="CA9" s="359">
        <v>5</v>
      </c>
      <c r="CB9" s="316">
        <v>4</v>
      </c>
      <c r="CC9" s="318">
        <f t="shared" si="28"/>
        <v>4</v>
      </c>
      <c r="CD9" s="316">
        <v>5</v>
      </c>
      <c r="CE9" s="318">
        <f t="shared" si="29"/>
        <v>5</v>
      </c>
      <c r="CF9" s="316">
        <v>4</v>
      </c>
      <c r="CG9" s="359">
        <f t="shared" si="30"/>
        <v>4</v>
      </c>
      <c r="CH9" s="335">
        <f t="shared" si="1"/>
        <v>5.157894736842105</v>
      </c>
      <c r="CI9" s="268">
        <f t="shared" si="2"/>
        <v>5.666666666666667</v>
      </c>
      <c r="CJ9" s="307">
        <f t="shared" si="3"/>
        <v>5.318181818181818</v>
      </c>
      <c r="CK9" s="390">
        <f ca="1">SUM(COUNTIF(INDIRECT({"c9","F9","K9","O9","T9","X9","AC9","AH9","AM9","AQ9","AU9","AY9","BC9","BF9","BJ9","BN9","BQ9","BT9","BX9"}),"&gt;8"))</f>
        <v>0</v>
      </c>
      <c r="CL9" s="391">
        <f ca="1">SUM(COUNTIF(INDIRECT({"c9","F9","K9","O9","T9","X9","AC9","AH9","AM9","AQ9","AU9","AY9","BC9","BF9","BJ9","BN9","BQ9","BT9","BX9"}),"&gt;5"))-CK9</f>
        <v>5</v>
      </c>
      <c r="CM9" s="392">
        <f ca="1">SUM(COUNTIF(INDIRECT({"c9","F9","K9","O9","T9","X9","AC9","AH9","AM9","AQ9","AU9","AY9","BC9","BF9","BJ9","BN9","BQ9","BT9","BX9"}),"&gt;2"))-CL9-CK9</f>
        <v>14</v>
      </c>
      <c r="CN9" s="393">
        <f ca="1">SUM(COUNTIF(INDIRECT({"c9","F9","K9","O9","T9","X9","AC9","AH9","AM9","AQ9","AU9","AY9","BC9","BF9","BJ9","BN9","BQ9","BT9","BX9"}),"&lt;3"))-CO9</f>
        <v>0</v>
      </c>
      <c r="CO9" s="417">
        <f ca="1">SUM(COUNTIF(INDIRECT({"c9","F9","K9","O9","T9","X9","AC9","AH9","AM9","AQ9","AU9","AY9","BC9","BF9","BJ9","BN9","BQ9","BT9","BX9"}),"=0"))</f>
        <v>0</v>
      </c>
      <c r="CP9" s="390">
        <f ca="1">SUM(COUNTIF(INDIRECT({"D9","G9","L9","P9","U9","Y9","AD9","AI9","AN9","AR9","AV9","AZ9","BD9","BG9","BK9","CB9","CD9","CF9"}),"&gt;8"))</f>
        <v>0</v>
      </c>
      <c r="CQ9" s="391">
        <f ca="1">SUM(COUNTIF(INDIRECT({"D9","G9","L9","P9","U9","Y9","AD9","AI9","AN9","AR9","AV9","AZ9","BD9","BG9","BK9","CB9","CD9","CF9"}),"&gt;5"))-CP9</f>
        <v>8</v>
      </c>
      <c r="CR9" s="392">
        <f ca="1">SUM(COUNTIF(INDIRECT({"D9","G9","L9","P9","U9","Y9","AD9","AI9","AN9","AR9","AV9","AZ9","BD9","BG9","BK9","CB9","CD9","CF9"}),"&gt;2"))-CQ9-CP9</f>
        <v>10</v>
      </c>
      <c r="CS9" s="393">
        <f ca="1">SUM(COUNTIF(INDIRECT({"D9","G9","L9","P9","U9","Y9","AD9","AI9","AN9","AR9","AV9","AZ9","BD9","BG9","BK9","CB9","CD9","CF9"}),"&lt;3"))-CT9</f>
        <v>0</v>
      </c>
      <c r="CT9" s="417">
        <f ca="1">SUM(COUNTIF(INDIRECT({"D9","G9","L9","P9","U9","Y9","AD9","AI9","AN9","AR9","AV9","AZ9","BD9","BG9","BK9","CB9","CD9","CF9"}),"=0"))</f>
        <v>0</v>
      </c>
      <c r="CU9" s="390">
        <f ca="1">SUM(COUNTIF(INDIRECT({"E9","H9","M9","Q9","V9","Z9","AE9","AJ9","AO9","AS9","AW9","BA9","BE9","BH9","BL9","BO9","BR9","BU9","BY9","CC9","CE9","CG9"}),"&gt;8"))</f>
        <v>0</v>
      </c>
      <c r="CV9" s="391">
        <f ca="1">SUM(COUNTIF(INDIRECT({"E9","H9","M9","Q9","V9","Z9","AE9","AJ9","AO9","AS9","AW9","BA9","BE9","BH9","BL9","BO9","BR9","BU9","BY9","CC9","CE9","CG9"}),"&gt;5"))-CU9</f>
        <v>9</v>
      </c>
      <c r="CW9" s="392">
        <f ca="1">SUM(COUNTIF(INDIRECT({"E9","H9","M9","Q9","V9","Z9","AE9","AJ9","AO9","AS9","AW9","BA9","BE9","BH9","BL9","BO9","BR9","BU9","BY9","CC9","CE9","CG9"}),"&gt;2"))-CV9-CU9</f>
        <v>13</v>
      </c>
      <c r="CX9" s="393">
        <f ca="1">SUM(COUNTIF(INDIRECT({"E9","H9","M9","Q9","V9","Z9","AE9","AJ9","AO9","AS9","AW9","BA9","BE9","BH9","BL9","BO9","BR9","BU9","BY9","CC9","CE9","CG9"}),"&lt;3"))-CY9</f>
        <v>0</v>
      </c>
      <c r="CY9" s="438">
        <f ca="1">SUM(COUNTIF(INDIRECT({"E9","H9","M9","Q9","V9","Z9","AE9","AJ9","AO9","AS9","AW9","BA9","BE9","BH9","BL9","BO9","BR9","BU9","BY9","CC9","CE9","CG9"}),"=0"))</f>
        <v>0</v>
      </c>
      <c r="CZ9" s="5">
        <v>8</v>
      </c>
      <c r="DA9" s="5">
        <v>7</v>
      </c>
    </row>
    <row r="10" spans="1:105" ht="12.75">
      <c r="A10" s="2">
        <v>7</v>
      </c>
      <c r="B10" s="204" t="s">
        <v>222</v>
      </c>
      <c r="C10" s="316">
        <v>7</v>
      </c>
      <c r="D10" s="313">
        <v>6</v>
      </c>
      <c r="E10" s="313">
        <f t="shared" si="4"/>
        <v>6.5</v>
      </c>
      <c r="F10" s="368">
        <v>6</v>
      </c>
      <c r="G10" s="313">
        <v>5</v>
      </c>
      <c r="H10" s="313">
        <f t="shared" si="5"/>
        <v>5.5</v>
      </c>
      <c r="I10" s="423"/>
      <c r="J10" s="318">
        <v>6</v>
      </c>
      <c r="K10" s="316">
        <v>8</v>
      </c>
      <c r="L10" s="313">
        <v>7</v>
      </c>
      <c r="M10" s="313">
        <f t="shared" si="6"/>
        <v>7.5</v>
      </c>
      <c r="N10" s="359">
        <f t="shared" si="7"/>
        <v>7.5</v>
      </c>
      <c r="O10" s="368">
        <v>6</v>
      </c>
      <c r="P10" s="313">
        <v>4</v>
      </c>
      <c r="Q10" s="313">
        <v>5</v>
      </c>
      <c r="R10" s="423" t="s">
        <v>391</v>
      </c>
      <c r="S10" s="359">
        <v>5</v>
      </c>
      <c r="T10" s="368">
        <v>7</v>
      </c>
      <c r="U10" s="313">
        <v>7</v>
      </c>
      <c r="V10" s="313">
        <f t="shared" si="8"/>
        <v>7</v>
      </c>
      <c r="W10" s="359">
        <f t="shared" si="9"/>
        <v>7</v>
      </c>
      <c r="X10" s="368">
        <v>7</v>
      </c>
      <c r="Y10" s="313">
        <v>7</v>
      </c>
      <c r="Z10" s="313">
        <f t="shared" si="10"/>
        <v>7</v>
      </c>
      <c r="AA10" s="313">
        <v>8</v>
      </c>
      <c r="AB10" s="318">
        <v>8</v>
      </c>
      <c r="AC10" s="316">
        <v>8</v>
      </c>
      <c r="AD10" s="313">
        <v>7</v>
      </c>
      <c r="AE10" s="313">
        <f t="shared" si="11"/>
        <v>7.5</v>
      </c>
      <c r="AF10" s="313">
        <v>9</v>
      </c>
      <c r="AG10" s="313">
        <v>9</v>
      </c>
      <c r="AH10" s="316">
        <v>6</v>
      </c>
      <c r="AI10" s="313">
        <v>6</v>
      </c>
      <c r="AJ10" s="313">
        <f t="shared" si="12"/>
        <v>6</v>
      </c>
      <c r="AK10" s="313">
        <v>5</v>
      </c>
      <c r="AL10" s="359">
        <v>6</v>
      </c>
      <c r="AM10" s="316">
        <v>7</v>
      </c>
      <c r="AN10" s="313">
        <v>5</v>
      </c>
      <c r="AO10" s="313">
        <f t="shared" si="13"/>
        <v>6</v>
      </c>
      <c r="AP10" s="318">
        <f t="shared" si="14"/>
        <v>6</v>
      </c>
      <c r="AQ10" s="316">
        <v>7</v>
      </c>
      <c r="AR10" s="313">
        <v>6</v>
      </c>
      <c r="AS10" s="313">
        <f t="shared" si="15"/>
        <v>6.5</v>
      </c>
      <c r="AT10" s="318">
        <f t="shared" si="16"/>
        <v>6.5</v>
      </c>
      <c r="AU10" s="316">
        <v>7</v>
      </c>
      <c r="AV10" s="313">
        <v>7</v>
      </c>
      <c r="AW10" s="313">
        <f t="shared" si="17"/>
        <v>7</v>
      </c>
      <c r="AX10" s="318">
        <f t="shared" si="18"/>
        <v>7</v>
      </c>
      <c r="AY10" s="316">
        <v>8</v>
      </c>
      <c r="AZ10" s="313">
        <v>8</v>
      </c>
      <c r="BA10" s="313">
        <f t="shared" si="19"/>
        <v>8</v>
      </c>
      <c r="BB10" s="318">
        <f t="shared" si="20"/>
        <v>8</v>
      </c>
      <c r="BC10" s="316" t="s">
        <v>340</v>
      </c>
      <c r="BD10" s="313" t="s">
        <v>340</v>
      </c>
      <c r="BE10" s="318" t="s">
        <v>340</v>
      </c>
      <c r="BF10" s="316">
        <v>8</v>
      </c>
      <c r="BG10" s="313">
        <v>8</v>
      </c>
      <c r="BH10" s="313">
        <f t="shared" si="21"/>
        <v>8</v>
      </c>
      <c r="BI10" s="318">
        <f t="shared" si="22"/>
        <v>8</v>
      </c>
      <c r="BJ10" s="316">
        <v>7</v>
      </c>
      <c r="BK10" s="313">
        <v>7</v>
      </c>
      <c r="BL10" s="313">
        <f t="shared" si="23"/>
        <v>7</v>
      </c>
      <c r="BM10" s="359">
        <f t="shared" si="0"/>
        <v>7</v>
      </c>
      <c r="BN10" s="309">
        <v>7</v>
      </c>
      <c r="BO10" s="309">
        <f t="shared" si="24"/>
        <v>7</v>
      </c>
      <c r="BP10" s="309">
        <f t="shared" si="25"/>
        <v>7</v>
      </c>
      <c r="BQ10" s="316">
        <v>6</v>
      </c>
      <c r="BR10" s="313">
        <f t="shared" si="26"/>
        <v>6</v>
      </c>
      <c r="BS10" s="359">
        <v>6</v>
      </c>
      <c r="BT10" s="316">
        <v>6</v>
      </c>
      <c r="BU10" s="313">
        <f t="shared" si="27"/>
        <v>6</v>
      </c>
      <c r="BV10" s="313">
        <v>6</v>
      </c>
      <c r="BW10" s="359">
        <v>6</v>
      </c>
      <c r="BX10" s="368">
        <v>6</v>
      </c>
      <c r="BY10" s="313">
        <f t="shared" si="31"/>
        <v>6</v>
      </c>
      <c r="BZ10" s="313">
        <v>6</v>
      </c>
      <c r="CA10" s="359">
        <v>6</v>
      </c>
      <c r="CB10" s="316">
        <v>6</v>
      </c>
      <c r="CC10" s="318">
        <f t="shared" si="28"/>
        <v>6</v>
      </c>
      <c r="CD10" s="316">
        <v>6</v>
      </c>
      <c r="CE10" s="318">
        <f t="shared" si="29"/>
        <v>6</v>
      </c>
      <c r="CF10" s="316">
        <v>6</v>
      </c>
      <c r="CG10" s="359">
        <f t="shared" si="30"/>
        <v>6</v>
      </c>
      <c r="CH10" s="335">
        <f t="shared" si="1"/>
        <v>6.888888888888889</v>
      </c>
      <c r="CI10" s="268">
        <f t="shared" si="2"/>
        <v>6.352941176470588</v>
      </c>
      <c r="CJ10" s="307">
        <f t="shared" si="3"/>
        <v>6.5476190476190474</v>
      </c>
      <c r="CK10" s="390">
        <f ca="1">SUM(COUNTIF(INDIRECT({"c10","F10","K10","O10","T10","X10","AC10","AH10","AM10","AQ10","AU10","AY10","BC10","BF10","BJ10","BN10","BQ10","BT10","BX10"}),"&gt;8"))</f>
        <v>0</v>
      </c>
      <c r="CL10" s="391">
        <f ca="1">SUM(COUNTIF(INDIRECT({"c10","F10","K10","O10","T10","X10","AC10","AH10","AM10","AQ10","AU10","AY10","BC10","BF10","BJ10","BN10","BQ10","BT10","BX10"}),"&gt;5"))-CK10</f>
        <v>18</v>
      </c>
      <c r="CM10" s="392">
        <f ca="1">SUM(COUNTIF(INDIRECT({"c10","F10","K10","O10","T10","X10","AC10","AH10","AM10","AQ10","AU10","AY10","BC10","BF10","BJ10","BN10","BQ10","BT10","BX10"}),"&gt;2"))-CL10-CK10</f>
        <v>0</v>
      </c>
      <c r="CN10" s="393">
        <f ca="1">SUM(COUNTIF(INDIRECT({"c10","F10","K10","O10","T10","X10","AC10","AH10","AM10","AQ10","AU10","AY10","BC10","BF10","BJ10","BN10","BQ10","BT10","BX10"}),"&lt;3"))-CO10</f>
        <v>0</v>
      </c>
      <c r="CO10" s="417">
        <f ca="1">SUM(COUNTIF(INDIRECT({"c10","F10","K10","O10","T10","X10","AC10","AH10","AM10","AQ10","AU10","AY10","BC10","BF10","BJ10","BN10","BQ10","BT10","BX10"}),"=0"))</f>
        <v>0</v>
      </c>
      <c r="CP10" s="390">
        <f ca="1">SUM(COUNTIF(INDIRECT({"D10","G10","L10","P10","U10","Y10","AD10","AI10","AN10","AR10","AV10","AZ10","BD10","BG10","BK10","CB10","CD10","CF10"}),"&gt;8"))</f>
        <v>0</v>
      </c>
      <c r="CQ10" s="391">
        <f ca="1">SUM(COUNTIF(INDIRECT({"D10","G10","L10","P10","U10","Y10","AD10","AI10","AN10","AR10","AV10","AZ10","BD10","BG10","BK10","CB10","CD10","CF10"}),"&gt;5"))-CP10</f>
        <v>14</v>
      </c>
      <c r="CR10" s="392">
        <f ca="1">SUM(COUNTIF(INDIRECT({"D10","G10","L10","P10","U10","Y10","AD10","AI10","AN10","AR10","AV10","AZ10","BD10","BG10","BK10","CB10","CD10","CF10"}),"&gt;2"))-CQ10-CP10</f>
        <v>3</v>
      </c>
      <c r="CS10" s="393">
        <f ca="1">SUM(COUNTIF(INDIRECT({"D10","G10","L10","P10","U10","Y10","AD10","AI10","AN10","AR10","AV10","AZ10","BD10","BG10","BK10","CB10","CD10","CF10"}),"&lt;3"))-CT10</f>
        <v>0</v>
      </c>
      <c r="CT10" s="417">
        <f ca="1">SUM(COUNTIF(INDIRECT({"D10","G10","L10","P10","U10","Y10","AD10","AI10","AN10","AR10","AV10","AZ10","BD10","BG10","BK10","CB10","CD10","CF10"}),"=0"))</f>
        <v>0</v>
      </c>
      <c r="CU10" s="390">
        <f ca="1">SUM(COUNTIF(INDIRECT({"E10","H10","M10","Q10","V10","Z10","AE10","AJ10","AO10","AS10","AW10","BA10","BE10","BH10","BL10","BO10","BR10","BU10","BY10","CC10","CE10","CG10"}),"&gt;8"))</f>
        <v>0</v>
      </c>
      <c r="CV10" s="391">
        <f ca="1">SUM(COUNTIF(INDIRECT({"E10","H10","M10","Q10","V10","Z10","AE10","AJ10","AO10","AS10","AW10","BA10","BE10","BH10","BL10","BO10","BR10","BU10","BY10","CC10","CE10","CG10"}),"&gt;5"))-CU10</f>
        <v>20</v>
      </c>
      <c r="CW10" s="392">
        <f ca="1">SUM(COUNTIF(INDIRECT({"E10","H10","M10","Q10","V10","Z10","AE10","AJ10","AO10","AS10","AW10","BA10","BE10","BH10","BL10","BO10","BR10","BU10","BY10","CC10","CE10","CG10"}),"&gt;2"))-CV10-CU10</f>
        <v>1</v>
      </c>
      <c r="CX10" s="393">
        <f ca="1">SUM(COUNTIF(INDIRECT({"E10","H10","M10","Q10","V10","Z10","AE10","AJ10","AO10","AS10","AW10","BA10","BE10","BH10","BL10","BO10","BR10","BU10","BY10","CC10","CE10","CG10"}),"&lt;3"))-CY10</f>
        <v>0</v>
      </c>
      <c r="CY10" s="438">
        <f ca="1">SUM(COUNTIF(INDIRECT({"E10","H10","M10","Q10","V10","Z10","AE10","AJ10","AO10","AS10","AW10","BA10","BE10","BH10","BL10","BO10","BR10","BU10","BY10","CC10","CE10","CG10"}),"=0"))</f>
        <v>0</v>
      </c>
      <c r="CZ10" s="5">
        <v>7</v>
      </c>
      <c r="DA10" s="5">
        <v>6</v>
      </c>
    </row>
    <row r="11" spans="1:105" ht="12.75">
      <c r="A11" s="2">
        <v>8</v>
      </c>
      <c r="B11" s="204" t="s">
        <v>161</v>
      </c>
      <c r="C11" s="316">
        <v>8</v>
      </c>
      <c r="D11" s="313">
        <v>6</v>
      </c>
      <c r="E11" s="313">
        <f t="shared" si="4"/>
        <v>6.5</v>
      </c>
      <c r="F11" s="368">
        <v>6</v>
      </c>
      <c r="G11" s="313">
        <v>6</v>
      </c>
      <c r="H11" s="313">
        <f t="shared" si="5"/>
        <v>6</v>
      </c>
      <c r="I11" s="423" t="s">
        <v>404</v>
      </c>
      <c r="J11" s="318">
        <v>7</v>
      </c>
      <c r="K11" s="316">
        <v>7</v>
      </c>
      <c r="L11" s="313">
        <v>6</v>
      </c>
      <c r="M11" s="313">
        <f t="shared" si="6"/>
        <v>6.5</v>
      </c>
      <c r="N11" s="359">
        <f t="shared" si="7"/>
        <v>6.5</v>
      </c>
      <c r="O11" s="368">
        <v>6</v>
      </c>
      <c r="P11" s="313">
        <v>5</v>
      </c>
      <c r="Q11" s="313">
        <v>6</v>
      </c>
      <c r="R11" s="423"/>
      <c r="S11" s="359">
        <v>6</v>
      </c>
      <c r="T11" s="368">
        <v>8</v>
      </c>
      <c r="U11" s="313">
        <v>6</v>
      </c>
      <c r="V11" s="313">
        <f t="shared" si="8"/>
        <v>7</v>
      </c>
      <c r="W11" s="359">
        <f t="shared" si="9"/>
        <v>7</v>
      </c>
      <c r="X11" s="368">
        <v>6</v>
      </c>
      <c r="Y11" s="313">
        <v>6</v>
      </c>
      <c r="Z11" s="313">
        <f t="shared" si="10"/>
        <v>6</v>
      </c>
      <c r="AA11" s="313">
        <v>7</v>
      </c>
      <c r="AB11" s="318">
        <v>7</v>
      </c>
      <c r="AC11" s="316">
        <v>7</v>
      </c>
      <c r="AD11" s="313">
        <v>6</v>
      </c>
      <c r="AE11" s="313">
        <f t="shared" si="11"/>
        <v>6.5</v>
      </c>
      <c r="AF11" s="313">
        <v>7</v>
      </c>
      <c r="AG11" s="313">
        <v>7</v>
      </c>
      <c r="AH11" s="316">
        <v>6</v>
      </c>
      <c r="AI11" s="313">
        <v>5</v>
      </c>
      <c r="AJ11" s="313">
        <f t="shared" si="12"/>
        <v>5.5</v>
      </c>
      <c r="AK11" s="313">
        <v>5</v>
      </c>
      <c r="AL11" s="359">
        <v>6</v>
      </c>
      <c r="AM11" s="316">
        <v>7</v>
      </c>
      <c r="AN11" s="313">
        <v>5</v>
      </c>
      <c r="AO11" s="313">
        <f t="shared" si="13"/>
        <v>6</v>
      </c>
      <c r="AP11" s="318">
        <f t="shared" si="14"/>
        <v>6</v>
      </c>
      <c r="AQ11" s="316">
        <v>7</v>
      </c>
      <c r="AR11" s="313">
        <v>6</v>
      </c>
      <c r="AS11" s="313">
        <f t="shared" si="15"/>
        <v>6.5</v>
      </c>
      <c r="AT11" s="318">
        <f t="shared" si="16"/>
        <v>6.5</v>
      </c>
      <c r="AU11" s="316">
        <v>7</v>
      </c>
      <c r="AV11" s="313">
        <v>5</v>
      </c>
      <c r="AW11" s="313">
        <f t="shared" si="17"/>
        <v>6</v>
      </c>
      <c r="AX11" s="318">
        <f t="shared" si="18"/>
        <v>6</v>
      </c>
      <c r="AY11" s="316">
        <v>7</v>
      </c>
      <c r="AZ11" s="313">
        <v>5</v>
      </c>
      <c r="BA11" s="313">
        <f t="shared" si="19"/>
        <v>6</v>
      </c>
      <c r="BB11" s="318">
        <f t="shared" si="20"/>
        <v>6</v>
      </c>
      <c r="BC11" s="316">
        <v>6</v>
      </c>
      <c r="BD11" s="313">
        <v>6</v>
      </c>
      <c r="BE11" s="318">
        <f t="shared" si="32"/>
        <v>6</v>
      </c>
      <c r="BF11" s="316">
        <v>7</v>
      </c>
      <c r="BG11" s="313">
        <v>7</v>
      </c>
      <c r="BH11" s="313">
        <f t="shared" si="21"/>
        <v>7</v>
      </c>
      <c r="BI11" s="318">
        <f t="shared" si="22"/>
        <v>7</v>
      </c>
      <c r="BJ11" s="316">
        <v>7</v>
      </c>
      <c r="BK11" s="313">
        <v>7</v>
      </c>
      <c r="BL11" s="313">
        <f t="shared" si="23"/>
        <v>7</v>
      </c>
      <c r="BM11" s="359">
        <f t="shared" si="0"/>
        <v>7</v>
      </c>
      <c r="BN11" s="309">
        <v>7</v>
      </c>
      <c r="BO11" s="309">
        <f t="shared" si="24"/>
        <v>7</v>
      </c>
      <c r="BP11" s="309">
        <f t="shared" si="25"/>
        <v>7</v>
      </c>
      <c r="BQ11" s="316">
        <v>8</v>
      </c>
      <c r="BR11" s="313">
        <f t="shared" si="26"/>
        <v>8</v>
      </c>
      <c r="BS11" s="359">
        <v>8</v>
      </c>
      <c r="BT11" s="316">
        <v>7</v>
      </c>
      <c r="BU11" s="313">
        <f t="shared" si="27"/>
        <v>7</v>
      </c>
      <c r="BV11" s="313">
        <v>5</v>
      </c>
      <c r="BW11" s="359">
        <v>6</v>
      </c>
      <c r="BX11" s="368">
        <v>7</v>
      </c>
      <c r="BY11" s="313">
        <f t="shared" si="31"/>
        <v>7</v>
      </c>
      <c r="BZ11" s="313">
        <v>6</v>
      </c>
      <c r="CA11" s="359">
        <v>7</v>
      </c>
      <c r="CB11" s="316">
        <v>6</v>
      </c>
      <c r="CC11" s="318">
        <f t="shared" si="28"/>
        <v>6</v>
      </c>
      <c r="CD11" s="316">
        <v>5</v>
      </c>
      <c r="CE11" s="318">
        <f t="shared" si="29"/>
        <v>5</v>
      </c>
      <c r="CF11" s="316">
        <v>5</v>
      </c>
      <c r="CG11" s="359">
        <f t="shared" si="30"/>
        <v>5</v>
      </c>
      <c r="CH11" s="335">
        <f t="shared" si="1"/>
        <v>6.894736842105263</v>
      </c>
      <c r="CI11" s="268">
        <f t="shared" si="2"/>
        <v>5.722222222222222</v>
      </c>
      <c r="CJ11" s="307">
        <f t="shared" si="3"/>
        <v>6.340909090909091</v>
      </c>
      <c r="CK11" s="390">
        <f ca="1">SUM(COUNTIF(INDIRECT({"c11","F11","K11","O11","T11","X11","AC11","AH11","AM11","AQ11","AU11","AY11","BC11","BF11","BJ11","BN11","BQ11","BT11","BX11"}),"&gt;8"))</f>
        <v>0</v>
      </c>
      <c r="CL11" s="391">
        <f ca="1">SUM(COUNTIF(INDIRECT({"c11","F11","K11","O11","T11","X11","AC11","AH11","AM11","AQ11","AU11","AY11","BC11","BF11","BJ11","BN11","BQ11","BT11","BX11"}),"&gt;5"))-CK11</f>
        <v>19</v>
      </c>
      <c r="CM11" s="392">
        <f ca="1">SUM(COUNTIF(INDIRECT({"c11","F11","K11","O11","T11","X11","AC11","AH11","AM11","AQ11","AU11","AY11","BC11","BF11","BJ11","BN11","BQ11","BT11","BX11"}),"&gt;2"))-CL11-CK11</f>
        <v>0</v>
      </c>
      <c r="CN11" s="393">
        <f ca="1">SUM(COUNTIF(INDIRECT({"c11","F11","K11","O11","T11","X11","AC11","AH11","AM11","AQ11","AU11","AY11","BC11","BF11","BJ11","BN11","BQ11","BT11","BX11"}),"&lt;3"))-CO11</f>
        <v>0</v>
      </c>
      <c r="CO11" s="417">
        <f ca="1">SUM(COUNTIF(INDIRECT({"c11","F11","K11","O11","T11","X11","AC11","AH11","AM11","AQ11","AU11","AY11","BC11","BF11","BJ11","BN11","BQ11","BT11","BX11"}),"=0"))</f>
        <v>0</v>
      </c>
      <c r="CP11" s="390">
        <f ca="1">SUM(COUNTIF(INDIRECT({"D11","G11","L11","P11","U11","Y11","AD11","AI11","AN11","AR11","AV11","AZ11","BD11","BG11","BK11","CB11","CD11","CF11"}),"&gt;8"))</f>
        <v>0</v>
      </c>
      <c r="CQ11" s="391">
        <f ca="1">SUM(COUNTIF(INDIRECT({"D11","G11","L11","P11","U11","Y11","AD11","AI11","AN11","AR11","AV11","AZ11","BD11","BG11","BK11","CB11","CD11","CF11"}),"&gt;5"))-CP11</f>
        <v>11</v>
      </c>
      <c r="CR11" s="392">
        <f ca="1">SUM(COUNTIF(INDIRECT({"D11","G11","L11","P11","U11","Y11","AD11","AI11","AN11","AR11","AV11","AZ11","BD11","BG11","BK11","CB11","CD11","CF11"}),"&gt;2"))-CQ11-CP11</f>
        <v>7</v>
      </c>
      <c r="CS11" s="393">
        <f ca="1">SUM(COUNTIF(INDIRECT({"D11","G11","L11","P11","U11","Y11","AD11","AI11","AN11","AR11","AV11","AZ11","BD11","BG11","BK11","CB11","CD11","CF11"}),"&lt;3"))-CT11</f>
        <v>0</v>
      </c>
      <c r="CT11" s="417">
        <f ca="1">SUM(COUNTIF(INDIRECT({"D11","G11","L11","P11","U11","Y11","AD11","AI11","AN11","AR11","AV11","AZ11","BD11","BG11","BK11","CB11","CD11","CF11"}),"=0"))</f>
        <v>0</v>
      </c>
      <c r="CU11" s="390">
        <f ca="1">SUM(COUNTIF(INDIRECT({"E11","H11","M11","Q11","V11","Z11","AE11","AJ11","AO11","AS11","AW11","BA11","BE11","BH11","BL11","BO11","BR11","BU11","BY11","CC11","CE11","CG11"}),"&gt;8"))</f>
        <v>0</v>
      </c>
      <c r="CV11" s="391">
        <f ca="1">SUM(COUNTIF(INDIRECT({"E11","H11","M11","Q11","V11","Z11","AE11","AJ11","AO11","AS11","AW11","BA11","BE11","BH11","BL11","BO11","BR11","BU11","BY11","CC11","CE11","CG11"}),"&gt;5"))-CU11</f>
        <v>20</v>
      </c>
      <c r="CW11" s="392">
        <f ca="1">SUM(COUNTIF(INDIRECT({"E11","H11","M11","Q11","V11","Z11","AE11","AJ11","AO11","AS11","AW11","BA11","BE11","BH11","BL11","BO11","BR11","BU11","BY11","CC11","CE11","CG11"}),"&gt;2"))-CV11-CU11</f>
        <v>2</v>
      </c>
      <c r="CX11" s="393">
        <f ca="1">SUM(COUNTIF(INDIRECT({"E11","H11","M11","Q11","V11","Z11","AE11","AJ11","AO11","AS11","AW11","BA11","BE11","BH11","BL11","BO11","BR11","BU11","BY11","CC11","CE11","CG11"}),"&lt;3"))-CY11</f>
        <v>0</v>
      </c>
      <c r="CY11" s="438">
        <f ca="1">SUM(COUNTIF(INDIRECT({"E11","H11","M11","Q11","V11","Z11","AE11","AJ11","AO11","AS11","AW11","BA11","BE11","BH11","BL11","BO11","BR11","BU11","BY11","CC11","CE11","CG11"}),"=0"))</f>
        <v>0</v>
      </c>
      <c r="CZ11" s="5">
        <v>8</v>
      </c>
      <c r="DA11" s="5">
        <v>5</v>
      </c>
    </row>
    <row r="12" spans="1:105" ht="12.75">
      <c r="A12" s="2">
        <v>9</v>
      </c>
      <c r="B12" s="204" t="s">
        <v>162</v>
      </c>
      <c r="C12" s="316">
        <v>8</v>
      </c>
      <c r="D12" s="313">
        <v>5</v>
      </c>
      <c r="E12" s="313">
        <f t="shared" si="4"/>
        <v>6.5</v>
      </c>
      <c r="F12" s="368">
        <v>4</v>
      </c>
      <c r="G12" s="313">
        <v>5</v>
      </c>
      <c r="H12" s="313">
        <f t="shared" si="5"/>
        <v>4.5</v>
      </c>
      <c r="I12" s="423"/>
      <c r="J12" s="318">
        <v>5</v>
      </c>
      <c r="K12" s="316">
        <v>4</v>
      </c>
      <c r="L12" s="313">
        <v>5</v>
      </c>
      <c r="M12" s="313">
        <f t="shared" si="6"/>
        <v>4.5</v>
      </c>
      <c r="N12" s="359">
        <f t="shared" si="7"/>
        <v>4.5</v>
      </c>
      <c r="O12" s="368">
        <v>4</v>
      </c>
      <c r="P12" s="313">
        <v>4</v>
      </c>
      <c r="Q12" s="313">
        <v>4</v>
      </c>
      <c r="R12" s="423" t="s">
        <v>392</v>
      </c>
      <c r="S12" s="359">
        <v>5</v>
      </c>
      <c r="T12" s="368">
        <v>5</v>
      </c>
      <c r="U12" s="313">
        <v>6</v>
      </c>
      <c r="V12" s="313">
        <f t="shared" si="8"/>
        <v>5.5</v>
      </c>
      <c r="W12" s="359">
        <f t="shared" si="9"/>
        <v>5.5</v>
      </c>
      <c r="X12" s="368">
        <v>5</v>
      </c>
      <c r="Y12" s="313">
        <v>5</v>
      </c>
      <c r="Z12" s="313">
        <f t="shared" si="10"/>
        <v>5</v>
      </c>
      <c r="AA12" s="313">
        <v>5</v>
      </c>
      <c r="AB12" s="318">
        <v>5</v>
      </c>
      <c r="AC12" s="316">
        <v>6</v>
      </c>
      <c r="AD12" s="313">
        <v>5</v>
      </c>
      <c r="AE12" s="313">
        <f t="shared" si="11"/>
        <v>5.5</v>
      </c>
      <c r="AF12" s="313">
        <v>4</v>
      </c>
      <c r="AG12" s="313">
        <v>5</v>
      </c>
      <c r="AH12" s="316">
        <v>4</v>
      </c>
      <c r="AI12" s="313">
        <v>3</v>
      </c>
      <c r="AJ12" s="313">
        <f t="shared" si="12"/>
        <v>3.5</v>
      </c>
      <c r="AK12" s="313">
        <v>4</v>
      </c>
      <c r="AL12" s="359">
        <v>4</v>
      </c>
      <c r="AM12" s="316">
        <v>7</v>
      </c>
      <c r="AN12" s="313">
        <v>6</v>
      </c>
      <c r="AO12" s="313">
        <f t="shared" si="13"/>
        <v>6.5</v>
      </c>
      <c r="AP12" s="318">
        <f t="shared" si="14"/>
        <v>6.5</v>
      </c>
      <c r="AQ12" s="316">
        <v>5</v>
      </c>
      <c r="AR12" s="313">
        <v>6</v>
      </c>
      <c r="AS12" s="313">
        <f t="shared" si="15"/>
        <v>5.5</v>
      </c>
      <c r="AT12" s="318">
        <f t="shared" si="16"/>
        <v>5.5</v>
      </c>
      <c r="AU12" s="316">
        <v>4</v>
      </c>
      <c r="AV12" s="313">
        <v>5</v>
      </c>
      <c r="AW12" s="313">
        <f t="shared" si="17"/>
        <v>4.5</v>
      </c>
      <c r="AX12" s="318">
        <f t="shared" si="18"/>
        <v>4.5</v>
      </c>
      <c r="AY12" s="316">
        <v>4</v>
      </c>
      <c r="AZ12" s="313">
        <v>5</v>
      </c>
      <c r="BA12" s="313">
        <f t="shared" si="19"/>
        <v>4.5</v>
      </c>
      <c r="BB12" s="318">
        <f t="shared" si="20"/>
        <v>4.5</v>
      </c>
      <c r="BC12" s="316">
        <v>6</v>
      </c>
      <c r="BD12" s="313">
        <v>1</v>
      </c>
      <c r="BE12" s="318">
        <f t="shared" si="32"/>
        <v>3.5</v>
      </c>
      <c r="BF12" s="316">
        <v>5</v>
      </c>
      <c r="BG12" s="313">
        <v>6</v>
      </c>
      <c r="BH12" s="313">
        <f t="shared" si="21"/>
        <v>5.5</v>
      </c>
      <c r="BI12" s="318">
        <f t="shared" si="22"/>
        <v>5.5</v>
      </c>
      <c r="BJ12" s="316">
        <v>4</v>
      </c>
      <c r="BK12" s="313">
        <v>7</v>
      </c>
      <c r="BL12" s="313">
        <f t="shared" si="23"/>
        <v>5.5</v>
      </c>
      <c r="BM12" s="359">
        <f t="shared" si="0"/>
        <v>5.5</v>
      </c>
      <c r="BN12" s="309">
        <v>6</v>
      </c>
      <c r="BO12" s="309">
        <f t="shared" si="24"/>
        <v>6</v>
      </c>
      <c r="BP12" s="309">
        <f t="shared" si="25"/>
        <v>6</v>
      </c>
      <c r="BQ12" s="316">
        <v>5</v>
      </c>
      <c r="BR12" s="313">
        <f t="shared" si="26"/>
        <v>5</v>
      </c>
      <c r="BS12" s="359">
        <v>5</v>
      </c>
      <c r="BT12" s="316">
        <v>5</v>
      </c>
      <c r="BU12" s="313">
        <f t="shared" si="27"/>
        <v>5</v>
      </c>
      <c r="BV12" s="313">
        <v>5</v>
      </c>
      <c r="BW12" s="359">
        <v>5</v>
      </c>
      <c r="BX12" s="368">
        <v>4</v>
      </c>
      <c r="BY12" s="313">
        <f t="shared" si="31"/>
        <v>4</v>
      </c>
      <c r="BZ12" s="313">
        <v>5</v>
      </c>
      <c r="CA12" s="359">
        <v>5</v>
      </c>
      <c r="CB12" s="316">
        <v>4</v>
      </c>
      <c r="CC12" s="318">
        <f t="shared" si="28"/>
        <v>4</v>
      </c>
      <c r="CD12" s="316">
        <v>5</v>
      </c>
      <c r="CE12" s="318">
        <f t="shared" si="29"/>
        <v>5</v>
      </c>
      <c r="CF12" s="316">
        <v>4</v>
      </c>
      <c r="CG12" s="359">
        <f t="shared" si="30"/>
        <v>4</v>
      </c>
      <c r="CH12" s="335">
        <f t="shared" si="1"/>
        <v>5</v>
      </c>
      <c r="CI12" s="268">
        <f t="shared" si="2"/>
        <v>4.833333333333333</v>
      </c>
      <c r="CJ12" s="307">
        <f t="shared" si="3"/>
        <v>4.886363636363637</v>
      </c>
      <c r="CK12" s="390">
        <f ca="1">SUM(COUNTIF(INDIRECT({"c12","F12","K12","O12","T12","X12","AC12","AH12","AM12","AQ12","AU12","AY12","BC12","BF12","BJ12","BN12","BQ12","BT12","BX12"}),"&gt;8"))</f>
        <v>0</v>
      </c>
      <c r="CL12" s="391">
        <f ca="1">SUM(COUNTIF(INDIRECT({"c12","F12","K12","O12","T12","X12","AC12","AH12","AM12","AQ12","AU12","AY12","BC12","BF12","BJ12","BN12","BQ12","BT12","BX12"}),"&gt;5"))-CK12</f>
        <v>5</v>
      </c>
      <c r="CM12" s="392">
        <f ca="1">SUM(COUNTIF(INDIRECT({"c12","F12","K12","O12","T12","X12","AC12","AH12","AM12","AQ12","AU12","AY12","BC12","BF12","BJ12","BN12","BQ12","BT12","BX12"}),"&gt;2"))-CL12-CK12</f>
        <v>14</v>
      </c>
      <c r="CN12" s="393">
        <f ca="1">SUM(COUNTIF(INDIRECT({"c12","F12","K12","O12","T12","X12","AC12","AH12","AM12","AQ12","AU12","AY12","BC12","BF12","BJ12","BN12","BQ12","BT12","BX12"}),"&lt;3"))-CO12</f>
        <v>0</v>
      </c>
      <c r="CO12" s="417">
        <f ca="1">SUM(COUNTIF(INDIRECT({"c12","F12","K12","O12","T12","X12","AC12","AH12","AM12","AQ12","AU12","AY12","BC12","BF12","BJ12","BN12","BQ12","BT12","BX12"}),"=0"))</f>
        <v>0</v>
      </c>
      <c r="CP12" s="390">
        <f ca="1">SUM(COUNTIF(INDIRECT({"D12","G12","L12","P12","U12","Y12","AD12","AI12","AN12","AR12","AV12","AZ12","BD12","BG12","BK12","CB12","CD12","CF12"}),"&gt;8"))</f>
        <v>0</v>
      </c>
      <c r="CQ12" s="391">
        <f ca="1">SUM(COUNTIF(INDIRECT({"D12","G12","L12","P12","U12","Y12","AD12","AI12","AN12","AR12","AV12","AZ12","BD12","BG12","BK12","CB12","CD12","CF12"}),"&gt;5"))-CP12</f>
        <v>5</v>
      </c>
      <c r="CR12" s="392">
        <f ca="1">SUM(COUNTIF(INDIRECT({"D12","G12","L12","P12","U12","Y12","AD12","AI12","AN12","AR12","AV12","AZ12","BD12","BG12","BK12","CB12","CD12","CF12"}),"&gt;2"))-CQ12-CP12</f>
        <v>12</v>
      </c>
      <c r="CS12" s="393">
        <f ca="1">SUM(COUNTIF(INDIRECT({"D12","G12","L12","P12","U12","Y12","AD12","AI12","AN12","AR12","AV12","AZ12","BD12","BG12","BK12","CB12","CD12","CF12"}),"&lt;3"))-CT12</f>
        <v>1</v>
      </c>
      <c r="CT12" s="417">
        <f ca="1">SUM(COUNTIF(INDIRECT({"D12","G12","L12","P12","U12","Y12","AD12","AI12","AN12","AR12","AV12","AZ12","BD12","BG12","BK12","CB12","CD12","CF12"}),"=0"))</f>
        <v>0</v>
      </c>
      <c r="CU12" s="390">
        <f ca="1">SUM(COUNTIF(INDIRECT({"E12","H12","M12","Q12","V12","Z12","AE12","AJ12","AO12","AS12","AW12","BA12","BE12","BH12","BL12","BO12","BR12","BU12","BY12","CC12","CE12","CG12"}),"&gt;8"))</f>
        <v>0</v>
      </c>
      <c r="CV12" s="391">
        <f ca="1">SUM(COUNTIF(INDIRECT({"E12","H12","M12","Q12","V12","Z12","AE12","AJ12","AO12","AS12","AW12","BA12","BE12","BH12","BL12","BO12","BR12","BU12","BY12","CC12","CE12","CG12"}),"&gt;5"))-CU12</f>
        <v>8</v>
      </c>
      <c r="CW12" s="392">
        <f ca="1">SUM(COUNTIF(INDIRECT({"E12","H12","M12","Q12","V12","Z12","AE12","AJ12","AO12","AS12","AW12","BA12","BE12","BH12","BL12","BO12","BR12","BU12","BY12","CC12","CE12","CG12"}),"&gt;2"))-CV12-CU12</f>
        <v>14</v>
      </c>
      <c r="CX12" s="393">
        <f ca="1">SUM(COUNTIF(INDIRECT({"E12","H12","M12","Q12","V12","Z12","AE12","AJ12","AO12","AS12","AW12","BA12","BE12","BH12","BL12","BO12","BR12","BU12","BY12","CC12","CE12","CG12"}),"&lt;3"))-CY12</f>
        <v>0</v>
      </c>
      <c r="CY12" s="438">
        <f ca="1">SUM(COUNTIF(INDIRECT({"E12","H12","M12","Q12","V12","Z12","AE12","AJ12","AO12","AS12","AW12","BA12","BE12","BH12","BL12","BO12","BR12","BU12","BY12","CC12","CE12","CG12"}),"=0"))</f>
        <v>0</v>
      </c>
      <c r="CZ12" s="5">
        <v>8</v>
      </c>
      <c r="DA12" s="5">
        <v>5</v>
      </c>
    </row>
    <row r="13" spans="1:105" ht="12.75">
      <c r="A13" s="2">
        <v>10</v>
      </c>
      <c r="B13" s="204" t="s">
        <v>163</v>
      </c>
      <c r="C13" s="316">
        <v>8</v>
      </c>
      <c r="D13" s="313">
        <v>6</v>
      </c>
      <c r="E13" s="313">
        <f t="shared" si="4"/>
        <v>7</v>
      </c>
      <c r="F13" s="368">
        <v>5</v>
      </c>
      <c r="G13" s="313">
        <v>6</v>
      </c>
      <c r="H13" s="313">
        <f t="shared" si="5"/>
        <v>5.5</v>
      </c>
      <c r="I13" s="423"/>
      <c r="J13" s="318">
        <v>6</v>
      </c>
      <c r="K13" s="316">
        <v>5</v>
      </c>
      <c r="L13" s="313">
        <v>6</v>
      </c>
      <c r="M13" s="313">
        <f t="shared" si="6"/>
        <v>5.5</v>
      </c>
      <c r="N13" s="359">
        <f t="shared" si="7"/>
        <v>5.5</v>
      </c>
      <c r="O13" s="368">
        <v>5</v>
      </c>
      <c r="P13" s="313">
        <v>5</v>
      </c>
      <c r="Q13" s="313">
        <v>5</v>
      </c>
      <c r="R13" s="423" t="s">
        <v>393</v>
      </c>
      <c r="S13" s="359">
        <v>5</v>
      </c>
      <c r="T13" s="368">
        <v>7</v>
      </c>
      <c r="U13" s="313">
        <v>6</v>
      </c>
      <c r="V13" s="313">
        <f t="shared" si="8"/>
        <v>6.5</v>
      </c>
      <c r="W13" s="359">
        <f t="shared" si="9"/>
        <v>6.5</v>
      </c>
      <c r="X13" s="368">
        <v>5</v>
      </c>
      <c r="Y13" s="313">
        <v>7</v>
      </c>
      <c r="Z13" s="313">
        <v>7</v>
      </c>
      <c r="AA13" s="313">
        <v>7</v>
      </c>
      <c r="AB13" s="318">
        <v>7</v>
      </c>
      <c r="AC13" s="316">
        <v>7</v>
      </c>
      <c r="AD13" s="313">
        <v>4</v>
      </c>
      <c r="AE13" s="313">
        <f t="shared" si="11"/>
        <v>5.5</v>
      </c>
      <c r="AF13" s="313">
        <v>6</v>
      </c>
      <c r="AG13" s="313">
        <v>6</v>
      </c>
      <c r="AH13" s="316">
        <v>4</v>
      </c>
      <c r="AI13" s="313">
        <v>4</v>
      </c>
      <c r="AJ13" s="313">
        <f t="shared" si="12"/>
        <v>4</v>
      </c>
      <c r="AK13" s="313">
        <v>3</v>
      </c>
      <c r="AL13" s="359">
        <v>4</v>
      </c>
      <c r="AM13" s="316">
        <v>7</v>
      </c>
      <c r="AN13" s="313">
        <v>7</v>
      </c>
      <c r="AO13" s="313">
        <f t="shared" si="13"/>
        <v>7</v>
      </c>
      <c r="AP13" s="318">
        <f t="shared" si="14"/>
        <v>7</v>
      </c>
      <c r="AQ13" s="316">
        <v>7</v>
      </c>
      <c r="AR13" s="313">
        <v>7</v>
      </c>
      <c r="AS13" s="313">
        <f t="shared" si="15"/>
        <v>7</v>
      </c>
      <c r="AT13" s="318">
        <f t="shared" si="16"/>
        <v>7</v>
      </c>
      <c r="AU13" s="316">
        <v>5</v>
      </c>
      <c r="AV13" s="313">
        <v>6</v>
      </c>
      <c r="AW13" s="313">
        <f t="shared" si="17"/>
        <v>5.5</v>
      </c>
      <c r="AX13" s="318">
        <f t="shared" si="18"/>
        <v>5.5</v>
      </c>
      <c r="AY13" s="316">
        <v>6</v>
      </c>
      <c r="AZ13" s="313">
        <v>7</v>
      </c>
      <c r="BA13" s="313">
        <f t="shared" si="19"/>
        <v>6.5</v>
      </c>
      <c r="BB13" s="318">
        <f t="shared" si="20"/>
        <v>6.5</v>
      </c>
      <c r="BC13" s="316">
        <v>4</v>
      </c>
      <c r="BD13" s="313">
        <v>8</v>
      </c>
      <c r="BE13" s="318">
        <f t="shared" si="32"/>
        <v>6</v>
      </c>
      <c r="BF13" s="316">
        <v>7</v>
      </c>
      <c r="BG13" s="313">
        <v>7</v>
      </c>
      <c r="BH13" s="313">
        <f t="shared" si="21"/>
        <v>7</v>
      </c>
      <c r="BI13" s="318">
        <f t="shared" si="22"/>
        <v>7</v>
      </c>
      <c r="BJ13" s="316">
        <v>5</v>
      </c>
      <c r="BK13" s="313">
        <v>5</v>
      </c>
      <c r="BL13" s="313">
        <f t="shared" si="23"/>
        <v>5</v>
      </c>
      <c r="BM13" s="359">
        <f t="shared" si="0"/>
        <v>5</v>
      </c>
      <c r="BN13" s="309">
        <v>7</v>
      </c>
      <c r="BO13" s="309">
        <f t="shared" si="24"/>
        <v>7</v>
      </c>
      <c r="BP13" s="309">
        <f t="shared" si="25"/>
        <v>7</v>
      </c>
      <c r="BQ13" s="316">
        <v>5</v>
      </c>
      <c r="BR13" s="313">
        <f t="shared" si="26"/>
        <v>5</v>
      </c>
      <c r="BS13" s="359">
        <v>5</v>
      </c>
      <c r="BT13" s="316">
        <v>5</v>
      </c>
      <c r="BU13" s="313">
        <f t="shared" si="27"/>
        <v>5</v>
      </c>
      <c r="BV13" s="313">
        <v>5</v>
      </c>
      <c r="BW13" s="359">
        <v>5</v>
      </c>
      <c r="BX13" s="368">
        <v>5</v>
      </c>
      <c r="BY13" s="313">
        <f t="shared" si="31"/>
        <v>5</v>
      </c>
      <c r="BZ13" s="313">
        <v>5</v>
      </c>
      <c r="CA13" s="359">
        <v>5</v>
      </c>
      <c r="CB13" s="316">
        <v>5</v>
      </c>
      <c r="CC13" s="318">
        <f t="shared" si="28"/>
        <v>5</v>
      </c>
      <c r="CD13" s="316">
        <v>6</v>
      </c>
      <c r="CE13" s="318">
        <f t="shared" si="29"/>
        <v>6</v>
      </c>
      <c r="CF13" s="316">
        <v>5</v>
      </c>
      <c r="CG13" s="359">
        <f t="shared" si="30"/>
        <v>5</v>
      </c>
      <c r="CH13" s="335">
        <f t="shared" si="1"/>
        <v>5.7368421052631575</v>
      </c>
      <c r="CI13" s="268">
        <f t="shared" si="2"/>
        <v>5.944444444444445</v>
      </c>
      <c r="CJ13" s="307">
        <f t="shared" si="3"/>
        <v>5.818181818181818</v>
      </c>
      <c r="CK13" s="390">
        <f ca="1">SUM(COUNTIF(INDIRECT({"c13","F13","K13","O13","T13","X13","AC13","AH13","AM13","AQ13","AU13","AY13","BC13","BF13","BJ13","BN13","BQ13","BT13","BX13"}),"&gt;8"))</f>
        <v>0</v>
      </c>
      <c r="CL13" s="391">
        <f ca="1">SUM(COUNTIF(INDIRECT({"c13","F13","K13","O13","T13","X13","AC13","AH13","AM13","AQ13","AU13","AY13","BC13","BF13","BJ13","BN13","BQ13","BT13","BX13"}),"&gt;5"))-CK13</f>
        <v>8</v>
      </c>
      <c r="CM13" s="392">
        <f ca="1">SUM(COUNTIF(INDIRECT({"c13","F13","K13","O13","T13","X13","AC13","AH13","AM13","AQ13","AU13","AY13","BC13","BF13","BJ13","BN13","BQ13","BT13","BX13"}),"&gt;2"))-CL13-CK13</f>
        <v>11</v>
      </c>
      <c r="CN13" s="393">
        <f ca="1">SUM(COUNTIF(INDIRECT({"c13","F13","K13","O13","T13","X13","AC13","AH13","AM13","AQ13","AU13","AY13","BC13","BF13","BJ13","BN13","BQ13","BT13","BX13"}),"&lt;3"))-CO13</f>
        <v>0</v>
      </c>
      <c r="CO13" s="417">
        <f ca="1">SUM(COUNTIF(INDIRECT({"c13","F13","K13","O13","T13","X13","AC13","AH13","AM13","AQ13","AU13","AY13","BC13","BF13","BJ13","BN13","BQ13","BT13","BX13"}),"=0"))</f>
        <v>0</v>
      </c>
      <c r="CP13" s="390">
        <f ca="1">SUM(COUNTIF(INDIRECT({"D13","G13","L13","P13","U13","Y13","AD13","AI13","AN13","AR13","AV13","AZ13","BD13","BG13","BK13","CB13","CD13","CF13"}),"&gt;8"))</f>
        <v>0</v>
      </c>
      <c r="CQ13" s="391">
        <f ca="1">SUM(COUNTIF(INDIRECT({"D13","G13","L13","P13","U13","Y13","AD13","AI13","AN13","AR13","AV13","AZ13","BD13","BG13","BK13","CB13","CD13","CF13"}),"&gt;5"))-CP13</f>
        <v>12</v>
      </c>
      <c r="CR13" s="392">
        <f ca="1">SUM(COUNTIF(INDIRECT({"D13","G13","L13","P13","U13","Y13","AD13","AI13","AN13","AR13","AV13","AZ13","BD13","BG13","BK13","CB13","CD13","CF13"}),"&gt;2"))-CQ13-CP13</f>
        <v>6</v>
      </c>
      <c r="CS13" s="393">
        <f ca="1">SUM(COUNTIF(INDIRECT({"D13","G13","L13","P13","U13","Y13","AD13","AI13","AN13","AR13","AV13","AZ13","BD13","BG13","BK13","CB13","CD13","CF13"}),"&lt;3"))-CT13</f>
        <v>0</v>
      </c>
      <c r="CT13" s="417">
        <f ca="1">SUM(COUNTIF(INDIRECT({"D13","G13","L13","P13","U13","Y13","AD13","AI13","AN13","AR13","AV13","AZ13","BD13","BG13","BK13","CB13","CD13","CF13"}),"=0"))</f>
        <v>0</v>
      </c>
      <c r="CU13" s="390">
        <f ca="1">SUM(COUNTIF(INDIRECT({"E13","H13","M13","Q13","V13","Z13","AE13","AJ13","AO13","AS13","AW13","BA13","BE13","BH13","BL13","BO13","BR13","BU13","BY13","CC13","CE13","CG13"}),"&gt;8"))</f>
        <v>0</v>
      </c>
      <c r="CV13" s="391">
        <f ca="1">SUM(COUNTIF(INDIRECT({"E13","H13","M13","Q13","V13","Z13","AE13","AJ13","AO13","AS13","AW13","BA13","BE13","BH13","BL13","BO13","BR13","BU13","BY13","CC13","CE13","CG13"}),"&gt;5"))-CU13</f>
        <v>14</v>
      </c>
      <c r="CW13" s="392">
        <f ca="1">SUM(COUNTIF(INDIRECT({"E13","H13","M13","Q13","V13","Z13","AE13","AJ13","AO13","AS13","AW13","BA13","BE13","BH13","BL13","BO13","BR13","BU13","BY13","CC13","CE13","CG13"}),"&gt;2"))-CV13-CU13</f>
        <v>8</v>
      </c>
      <c r="CX13" s="393">
        <f ca="1">SUM(COUNTIF(INDIRECT({"E13","H13","M13","Q13","V13","Z13","AE13","AJ13","AO13","AS13","AW13","BA13","BE13","BH13","BL13","BO13","BR13","BU13","BY13","CC13","CE13","CG13"}),"&lt;3"))-CY13</f>
        <v>0</v>
      </c>
      <c r="CY13" s="438">
        <f ca="1">SUM(COUNTIF(INDIRECT({"E13","H13","M13","Q13","V13","Z13","AE13","AJ13","AO13","AS13","AW13","BA13","BE13","BH13","BL13","BO13","BR13","BU13","BY13","CC13","CE13","CG13"}),"=0"))</f>
        <v>0</v>
      </c>
      <c r="CZ13" s="5">
        <v>8</v>
      </c>
      <c r="DA13" s="5">
        <v>6</v>
      </c>
    </row>
    <row r="14" spans="1:105" ht="12.75">
      <c r="A14" s="2">
        <v>11</v>
      </c>
      <c r="B14" s="204" t="s">
        <v>164</v>
      </c>
      <c r="C14" s="316">
        <v>8</v>
      </c>
      <c r="D14" s="313">
        <v>6</v>
      </c>
      <c r="E14" s="313">
        <f t="shared" si="4"/>
        <v>7</v>
      </c>
      <c r="F14" s="368">
        <v>5</v>
      </c>
      <c r="G14" s="313">
        <v>5</v>
      </c>
      <c r="H14" s="313">
        <f t="shared" si="5"/>
        <v>5</v>
      </c>
      <c r="I14" s="423"/>
      <c r="J14" s="318">
        <v>5</v>
      </c>
      <c r="K14" s="316">
        <v>6</v>
      </c>
      <c r="L14" s="313">
        <v>5</v>
      </c>
      <c r="M14" s="313">
        <f t="shared" si="6"/>
        <v>5.5</v>
      </c>
      <c r="N14" s="359">
        <f t="shared" si="7"/>
        <v>5.5</v>
      </c>
      <c r="O14" s="368">
        <v>6</v>
      </c>
      <c r="P14" s="313">
        <v>6</v>
      </c>
      <c r="Q14" s="313">
        <v>6</v>
      </c>
      <c r="R14" s="423" t="s">
        <v>394</v>
      </c>
      <c r="S14" s="359">
        <v>6</v>
      </c>
      <c r="T14" s="368">
        <v>8</v>
      </c>
      <c r="U14" s="313">
        <v>7</v>
      </c>
      <c r="V14" s="313">
        <f t="shared" si="8"/>
        <v>7.5</v>
      </c>
      <c r="W14" s="359">
        <f t="shared" si="9"/>
        <v>7.5</v>
      </c>
      <c r="X14" s="368">
        <v>4</v>
      </c>
      <c r="Y14" s="313">
        <v>7</v>
      </c>
      <c r="Z14" s="313">
        <f t="shared" si="10"/>
        <v>5.5</v>
      </c>
      <c r="AA14" s="313">
        <v>6</v>
      </c>
      <c r="AB14" s="318">
        <v>6</v>
      </c>
      <c r="AC14" s="316">
        <v>8</v>
      </c>
      <c r="AD14" s="313">
        <v>5</v>
      </c>
      <c r="AE14" s="313">
        <f t="shared" si="11"/>
        <v>6.5</v>
      </c>
      <c r="AF14" s="313">
        <v>7</v>
      </c>
      <c r="AG14" s="313">
        <v>7</v>
      </c>
      <c r="AH14" s="316">
        <v>4</v>
      </c>
      <c r="AI14" s="313">
        <v>3</v>
      </c>
      <c r="AJ14" s="313">
        <f t="shared" si="12"/>
        <v>3.5</v>
      </c>
      <c r="AK14" s="313">
        <v>3</v>
      </c>
      <c r="AL14" s="359">
        <v>4</v>
      </c>
      <c r="AM14" s="316">
        <v>7</v>
      </c>
      <c r="AN14" s="313">
        <v>8</v>
      </c>
      <c r="AO14" s="313">
        <f t="shared" si="13"/>
        <v>7.5</v>
      </c>
      <c r="AP14" s="318">
        <f t="shared" si="14"/>
        <v>7.5</v>
      </c>
      <c r="AQ14" s="316">
        <v>7</v>
      </c>
      <c r="AR14" s="313">
        <v>7</v>
      </c>
      <c r="AS14" s="313">
        <f t="shared" si="15"/>
        <v>7</v>
      </c>
      <c r="AT14" s="318">
        <f t="shared" si="16"/>
        <v>7</v>
      </c>
      <c r="AU14" s="316">
        <v>5</v>
      </c>
      <c r="AV14" s="313">
        <v>5</v>
      </c>
      <c r="AW14" s="313">
        <f t="shared" si="17"/>
        <v>5</v>
      </c>
      <c r="AX14" s="318">
        <f t="shared" si="18"/>
        <v>5</v>
      </c>
      <c r="AY14" s="316">
        <v>5</v>
      </c>
      <c r="AZ14" s="313">
        <v>6</v>
      </c>
      <c r="BA14" s="313">
        <f t="shared" si="19"/>
        <v>5.5</v>
      </c>
      <c r="BB14" s="318">
        <f t="shared" si="20"/>
        <v>5.5</v>
      </c>
      <c r="BC14" s="316">
        <v>1</v>
      </c>
      <c r="BD14" s="313">
        <v>1</v>
      </c>
      <c r="BE14" s="318">
        <f t="shared" si="32"/>
        <v>1</v>
      </c>
      <c r="BF14" s="316">
        <v>7</v>
      </c>
      <c r="BG14" s="313">
        <v>6</v>
      </c>
      <c r="BH14" s="313">
        <f t="shared" si="21"/>
        <v>6.5</v>
      </c>
      <c r="BI14" s="318">
        <f t="shared" si="22"/>
        <v>6.5</v>
      </c>
      <c r="BJ14" s="316">
        <v>6</v>
      </c>
      <c r="BK14" s="313">
        <v>7</v>
      </c>
      <c r="BL14" s="313">
        <f t="shared" si="23"/>
        <v>6.5</v>
      </c>
      <c r="BM14" s="359">
        <f t="shared" si="0"/>
        <v>6.5</v>
      </c>
      <c r="BN14" s="309">
        <v>8</v>
      </c>
      <c r="BO14" s="309">
        <f t="shared" si="24"/>
        <v>8</v>
      </c>
      <c r="BP14" s="309">
        <f t="shared" si="25"/>
        <v>8</v>
      </c>
      <c r="BQ14" s="316">
        <v>5</v>
      </c>
      <c r="BR14" s="313">
        <f t="shared" si="26"/>
        <v>5</v>
      </c>
      <c r="BS14" s="359">
        <v>5</v>
      </c>
      <c r="BT14" s="316">
        <v>5</v>
      </c>
      <c r="BU14" s="313">
        <f t="shared" si="27"/>
        <v>5</v>
      </c>
      <c r="BV14" s="313">
        <v>5</v>
      </c>
      <c r="BW14" s="359">
        <v>5</v>
      </c>
      <c r="BX14" s="368">
        <v>5</v>
      </c>
      <c r="BY14" s="313">
        <f t="shared" si="31"/>
        <v>5</v>
      </c>
      <c r="BZ14" s="313">
        <v>6</v>
      </c>
      <c r="CA14" s="359">
        <v>5</v>
      </c>
      <c r="CB14" s="316">
        <v>6</v>
      </c>
      <c r="CC14" s="318">
        <f t="shared" si="28"/>
        <v>6</v>
      </c>
      <c r="CD14" s="316">
        <v>6</v>
      </c>
      <c r="CE14" s="318">
        <f t="shared" si="29"/>
        <v>6</v>
      </c>
      <c r="CF14" s="316">
        <v>5</v>
      </c>
      <c r="CG14" s="359">
        <f t="shared" si="30"/>
        <v>5</v>
      </c>
      <c r="CH14" s="335">
        <f t="shared" si="1"/>
        <v>5.7894736842105265</v>
      </c>
      <c r="CI14" s="268">
        <f t="shared" si="2"/>
        <v>5.611111111111111</v>
      </c>
      <c r="CJ14" s="307">
        <f t="shared" si="3"/>
        <v>5.704545454545454</v>
      </c>
      <c r="CK14" s="390">
        <f ca="1">SUM(COUNTIF(INDIRECT({"c14","F14","K14","O14","T14","X14","AC14","AH14","AM14","AQ14","AU14","AY14","BC14","BF14","BJ14","BN14","BQ14","BT14","BX14"}),"&gt;8"))</f>
        <v>0</v>
      </c>
      <c r="CL14" s="391">
        <f ca="1">SUM(COUNTIF(INDIRECT({"c14","F14","K14","O14","T14","X14","AC14","AH14","AM14","AQ14","AU14","AY14","BC14","BF14","BJ14","BN14","BQ14","BT14","BX14"}),"&gt;5"))-CK14</f>
        <v>10</v>
      </c>
      <c r="CM14" s="392">
        <f ca="1">SUM(COUNTIF(INDIRECT({"c14","F14","K14","O14","T14","X14","AC14","AH14","AM14","AQ14","AU14","AY14","BC14","BF14","BJ14","BN14","BQ14","BT14","BX14"}),"&gt;2"))-CL14-CK14</f>
        <v>8</v>
      </c>
      <c r="CN14" s="393">
        <f ca="1">SUM(COUNTIF(INDIRECT({"c14","F14","K14","O14","T14","X14","AC14","AH14","AM14","AQ14","AU14","AY14","BC14","BF14","BJ14","BN14","BQ14","BT14","BX14"}),"&lt;3"))-CO14</f>
        <v>1</v>
      </c>
      <c r="CO14" s="417">
        <f ca="1">SUM(COUNTIF(INDIRECT({"c14","F14","K14","O14","T14","X14","AC14","AH14","AM14","AQ14","AU14","AY14","BC14","BF14","BJ14","BN14","BQ14","BT14","BX14"}),"=0"))</f>
        <v>0</v>
      </c>
      <c r="CP14" s="390">
        <f ca="1">SUM(COUNTIF(INDIRECT({"D14","G14","L14","P14","U14","Y14","AD14","AI14","AN14","AR14","AV14","AZ14","BD14","BG14","BK14","CB14","CD14","CF14"}),"&gt;8"))</f>
        <v>0</v>
      </c>
      <c r="CQ14" s="391">
        <f ca="1">SUM(COUNTIF(INDIRECT({"D14","G14","L14","P14","U14","Y14","AD14","AI14","AN14","AR14","AV14","AZ14","BD14","BG14","BK14","CB14","CD14","CF14"}),"&gt;5"))-CP14</f>
        <v>11</v>
      </c>
      <c r="CR14" s="392">
        <f ca="1">SUM(COUNTIF(INDIRECT({"D14","G14","L14","P14","U14","Y14","AD14","AI14","AN14","AR14","AV14","AZ14","BD14","BG14","BK14","CB14","CD14","CF14"}),"&gt;2"))-CQ14-CP14</f>
        <v>6</v>
      </c>
      <c r="CS14" s="393">
        <f ca="1">SUM(COUNTIF(INDIRECT({"D14","G14","L14","P14","U14","Y14","AD14","AI14","AN14","AR14","AV14","AZ14","BD14","BG14","BK14","CB14","CD14","CF14"}),"&lt;3"))-CT14</f>
        <v>1</v>
      </c>
      <c r="CT14" s="417">
        <f ca="1">SUM(COUNTIF(INDIRECT({"D14","G14","L14","P14","U14","Y14","AD14","AI14","AN14","AR14","AV14","AZ14","BD14","BG14","BK14","CB14","CD14","CF14"}),"=0"))</f>
        <v>0</v>
      </c>
      <c r="CU14" s="390">
        <f ca="1">SUM(COUNTIF(INDIRECT({"E14","H14","M14","Q14","V14","Z14","AE14","AJ14","AO14","AS14","AW14","BA14","BE14","BH14","BL14","BO14","BR14","BU14","BY14","CC14","CE14","CG14"}),"&gt;8"))</f>
        <v>0</v>
      </c>
      <c r="CV14" s="391">
        <f ca="1">SUM(COUNTIF(INDIRECT({"E14","H14","M14","Q14","V14","Z14","AE14","AJ14","AO14","AS14","AW14","BA14","BE14","BH14","BL14","BO14","BR14","BU14","BY14","CC14","CE14","CG14"}),"&gt;5"))-CU14</f>
        <v>14</v>
      </c>
      <c r="CW14" s="392">
        <f ca="1">SUM(COUNTIF(INDIRECT({"E14","H14","M14","Q14","V14","Z14","AE14","AJ14","AO14","AS14","AW14","BA14","BE14","BH14","BL14","BO14","BR14","BU14","BY14","CC14","CE14","CG14"}),"&gt;2"))-CV14-CU14</f>
        <v>7</v>
      </c>
      <c r="CX14" s="393">
        <f ca="1">SUM(COUNTIF(INDIRECT({"E14","H14","M14","Q14","V14","Z14","AE14","AJ14","AO14","AS14","AW14","BA14","BE14","BH14","BL14","BO14","BR14","BU14","BY14","CC14","CE14","CG14"}),"&lt;3"))-CY14</f>
        <v>1</v>
      </c>
      <c r="CY14" s="438">
        <f ca="1">SUM(COUNTIF(INDIRECT({"E14","H14","M14","Q14","V14","Z14","AE14","AJ14","AO14","AS14","AW14","BA14","BE14","BH14","BL14","BO14","BR14","BU14","BY14","CC14","CE14","CG14"}),"=0"))</f>
        <v>0</v>
      </c>
      <c r="CZ14" s="5">
        <v>8</v>
      </c>
      <c r="DA14" s="5">
        <v>6</v>
      </c>
    </row>
    <row r="15" spans="1:105" ht="12.75">
      <c r="A15" s="2">
        <v>12</v>
      </c>
      <c r="B15" s="204" t="s">
        <v>165</v>
      </c>
      <c r="C15" s="316">
        <v>6</v>
      </c>
      <c r="D15" s="313">
        <v>0</v>
      </c>
      <c r="E15" s="313">
        <v>0</v>
      </c>
      <c r="F15" s="368">
        <v>3</v>
      </c>
      <c r="G15" s="313">
        <v>4</v>
      </c>
      <c r="H15" s="313">
        <f t="shared" si="5"/>
        <v>3.5</v>
      </c>
      <c r="I15" s="423"/>
      <c r="J15" s="318">
        <v>4</v>
      </c>
      <c r="K15" s="316">
        <v>3</v>
      </c>
      <c r="L15" s="313">
        <v>4</v>
      </c>
      <c r="M15" s="313">
        <f t="shared" si="6"/>
        <v>3.5</v>
      </c>
      <c r="N15" s="359">
        <f t="shared" si="7"/>
        <v>3.5</v>
      </c>
      <c r="O15" s="368">
        <v>3</v>
      </c>
      <c r="P15" s="313">
        <v>3</v>
      </c>
      <c r="Q15" s="313">
        <v>3</v>
      </c>
      <c r="R15" s="423" t="s">
        <v>395</v>
      </c>
      <c r="S15" s="359">
        <v>3</v>
      </c>
      <c r="T15" s="368">
        <v>3</v>
      </c>
      <c r="U15" s="313">
        <v>3</v>
      </c>
      <c r="V15" s="313">
        <f t="shared" si="8"/>
        <v>3</v>
      </c>
      <c r="W15" s="359">
        <f t="shared" si="9"/>
        <v>3</v>
      </c>
      <c r="X15" s="368">
        <v>7</v>
      </c>
      <c r="Y15" s="313">
        <v>3</v>
      </c>
      <c r="Z15" s="313">
        <f t="shared" si="10"/>
        <v>5</v>
      </c>
      <c r="AA15" s="313">
        <v>5</v>
      </c>
      <c r="AB15" s="318">
        <v>5</v>
      </c>
      <c r="AC15" s="316">
        <v>2</v>
      </c>
      <c r="AD15" s="313">
        <v>2</v>
      </c>
      <c r="AE15" s="313">
        <f t="shared" si="11"/>
        <v>2</v>
      </c>
      <c r="AF15" s="313">
        <v>3</v>
      </c>
      <c r="AG15" s="313">
        <v>3</v>
      </c>
      <c r="AH15" s="316">
        <v>2</v>
      </c>
      <c r="AI15" s="313">
        <v>2</v>
      </c>
      <c r="AJ15" s="313">
        <f t="shared" si="12"/>
        <v>2</v>
      </c>
      <c r="AK15" s="313">
        <v>3</v>
      </c>
      <c r="AL15" s="359">
        <v>3</v>
      </c>
      <c r="AM15" s="316">
        <v>3</v>
      </c>
      <c r="AN15" s="313">
        <v>1</v>
      </c>
      <c r="AO15" s="313">
        <f t="shared" si="13"/>
        <v>2</v>
      </c>
      <c r="AP15" s="318">
        <f t="shared" si="14"/>
        <v>2</v>
      </c>
      <c r="AQ15" s="316">
        <v>3</v>
      </c>
      <c r="AR15" s="313">
        <v>4</v>
      </c>
      <c r="AS15" s="313">
        <f t="shared" si="15"/>
        <v>3.5</v>
      </c>
      <c r="AT15" s="318">
        <f t="shared" si="16"/>
        <v>3.5</v>
      </c>
      <c r="AU15" s="316">
        <v>3</v>
      </c>
      <c r="AV15" s="313">
        <v>3</v>
      </c>
      <c r="AW15" s="313">
        <f t="shared" si="17"/>
        <v>3</v>
      </c>
      <c r="AX15" s="318">
        <f t="shared" si="18"/>
        <v>3</v>
      </c>
      <c r="AY15" s="316">
        <v>3</v>
      </c>
      <c r="AZ15" s="313">
        <v>3</v>
      </c>
      <c r="BA15" s="313">
        <f t="shared" si="19"/>
        <v>3</v>
      </c>
      <c r="BB15" s="318">
        <f t="shared" si="20"/>
        <v>3</v>
      </c>
      <c r="BC15" s="316" t="s">
        <v>339</v>
      </c>
      <c r="BD15" s="313">
        <v>0</v>
      </c>
      <c r="BE15" s="318">
        <f t="shared" si="32"/>
        <v>0</v>
      </c>
      <c r="BF15" s="316">
        <v>5</v>
      </c>
      <c r="BG15" s="313">
        <v>7</v>
      </c>
      <c r="BH15" s="313">
        <f t="shared" si="21"/>
        <v>6</v>
      </c>
      <c r="BI15" s="318">
        <f t="shared" si="22"/>
        <v>6</v>
      </c>
      <c r="BJ15" s="316">
        <v>3</v>
      </c>
      <c r="BK15" s="313">
        <v>2</v>
      </c>
      <c r="BL15" s="313">
        <f>AVERAGE(BJ15:BK15)</f>
        <v>2.5</v>
      </c>
      <c r="BM15" s="359">
        <f>BL15</f>
        <v>2.5</v>
      </c>
      <c r="BN15" s="309">
        <v>6</v>
      </c>
      <c r="BO15" s="309">
        <f t="shared" si="24"/>
        <v>6</v>
      </c>
      <c r="BP15" s="309">
        <f t="shared" si="25"/>
        <v>6</v>
      </c>
      <c r="BQ15" s="316">
        <v>4</v>
      </c>
      <c r="BR15" s="313">
        <f t="shared" si="26"/>
        <v>4</v>
      </c>
      <c r="BS15" s="359">
        <v>5</v>
      </c>
      <c r="BT15" s="316">
        <v>3</v>
      </c>
      <c r="BU15" s="313">
        <f t="shared" si="27"/>
        <v>3</v>
      </c>
      <c r="BV15" s="313">
        <v>4</v>
      </c>
      <c r="BW15" s="359">
        <v>4</v>
      </c>
      <c r="BX15" s="368">
        <v>4</v>
      </c>
      <c r="BY15" s="313">
        <f t="shared" si="31"/>
        <v>4</v>
      </c>
      <c r="BZ15" s="313">
        <v>3</v>
      </c>
      <c r="CA15" s="359">
        <v>4</v>
      </c>
      <c r="CB15" s="316">
        <v>3</v>
      </c>
      <c r="CC15" s="318">
        <f t="shared" si="28"/>
        <v>3</v>
      </c>
      <c r="CD15" s="316">
        <v>5</v>
      </c>
      <c r="CE15" s="318">
        <f t="shared" si="29"/>
        <v>5</v>
      </c>
      <c r="CF15" s="316">
        <v>5</v>
      </c>
      <c r="CG15" s="359">
        <f t="shared" si="30"/>
        <v>5</v>
      </c>
      <c r="CH15" s="335">
        <f t="shared" si="1"/>
        <v>3.6666666666666665</v>
      </c>
      <c r="CI15" s="268">
        <f t="shared" si="2"/>
        <v>3</v>
      </c>
      <c r="CJ15" s="307">
        <f t="shared" si="3"/>
        <v>3.272727272727273</v>
      </c>
      <c r="CK15" s="390">
        <f ca="1">SUM(COUNTIF(INDIRECT({"c15","F15","K15","O15","T15","X15","AC15","AH15","AM15","AQ15","AU15","AY15","BC15","BF15","BJ15","BN15","BQ15","BT15","BX15"}),"&gt;8"))</f>
        <v>0</v>
      </c>
      <c r="CL15" s="391">
        <f ca="1">SUM(COUNTIF(INDIRECT({"c15","F15","K15","O15","T15","X15","AC15","AH15","AM15","AQ15","AU15","AY15","BC15","BF15","BJ15","BN15","BQ15","BT15","BX15"}),"&gt;5"))-CK15</f>
        <v>3</v>
      </c>
      <c r="CM15" s="392">
        <f ca="1">SUM(COUNTIF(INDIRECT({"c15","F15","K15","O15","T15","X15","AC15","AH15","AM15","AQ15","AU15","AY15","BC15","BF15","BJ15","BN15","BQ15","BT15","BX15"}),"&gt;2"))-CL15-CK15</f>
        <v>13</v>
      </c>
      <c r="CN15" s="393">
        <f ca="1">SUM(COUNTIF(INDIRECT({"c15","F15","K15","O15","T15","X15","AC15","AH15","AM15","AQ15","AU15","AY15","BC15","BF15","BJ15","BN15","BQ15","BT15","BX15"}),"&lt;3"))-CO15</f>
        <v>2</v>
      </c>
      <c r="CO15" s="417">
        <f ca="1">SUM(COUNTIF(INDIRECT({"c15","F15","K15","O15","T15","X15","AC15","AH15","AM15","AQ15","AU15","AY15","BC15","BF15","BJ15","BN15","BQ15","BT15","BX15"}),"=0"))</f>
        <v>0</v>
      </c>
      <c r="CP15" s="390">
        <f ca="1">SUM(COUNTIF(INDIRECT({"D15","G15","L15","P15","U15","Y15","AD15","AI15","AN15","AR15","AV15","AZ15","BD15","BG15","BK15","CB15","CD15","CF15"}),"&gt;8"))</f>
        <v>0</v>
      </c>
      <c r="CQ15" s="391">
        <f ca="1">SUM(COUNTIF(INDIRECT({"D15","G15","L15","P15","U15","Y15","AD15","AI15","AN15","AR15","AV15","AZ15","BD15","BG15","BK15","CB15","CD15","CF15"}),"&gt;5"))-CP15</f>
        <v>1</v>
      </c>
      <c r="CR15" s="392">
        <f ca="1">SUM(COUNTIF(INDIRECT({"D15","G15","L15","P15","U15","Y15","AD15","AI15","AN15","AR15","AV15","AZ15","BD15","BG15","BK15","CB15","CD15","CF15"}),"&gt;2"))-CQ15-CP15</f>
        <v>11</v>
      </c>
      <c r="CS15" s="393">
        <f ca="1">SUM(COUNTIF(INDIRECT({"D15","G15","L15","P15","U15","Y15","AD15","AI15","AN15","AR15","AV15","AZ15","BD15","BG15","BK15","CB15","CD15","CF15"}),"&lt;3"))-CT15</f>
        <v>4</v>
      </c>
      <c r="CT15" s="417">
        <f ca="1">SUM(COUNTIF(INDIRECT({"D15","G15","L15","P15","U15","Y15","AD15","AI15","AN15","AR15","AV15","AZ15","BD15","BG15","BK15","CB15","CD15","CF15"}),"=0"))</f>
        <v>2</v>
      </c>
      <c r="CU15" s="390">
        <f ca="1">SUM(COUNTIF(INDIRECT({"E15","H15","M15","Q15","V15","Z15","AE15","AJ15","AO15","AS15","AW15","BA15","BE15","BH15","BL15","BO15","BR15","BU15","BY15","CC15","CE15","CG15"}),"&gt;8"))</f>
        <v>0</v>
      </c>
      <c r="CV15" s="391">
        <f ca="1">SUM(COUNTIF(INDIRECT({"E15","H15","M15","Q15","V15","Z15","AE15","AJ15","AO15","AS15","AW15","BA15","BE15","BH15","BL15","BO15","BR15","BU15","BY15","CC15","CE15","CG15"}),"&gt;5"))-CU15</f>
        <v>2</v>
      </c>
      <c r="CW15" s="392">
        <f ca="1">SUM(COUNTIF(INDIRECT({"E15","H15","M15","Q15","V15","Z15","AE15","AJ15","AO15","AS15","AW15","BA15","BE15","BH15","BL15","BO15","BR15","BU15","BY15","CC15","CE15","CG15"}),"&gt;2"))-CV15-CU15</f>
        <v>15</v>
      </c>
      <c r="CX15" s="393">
        <f ca="1">SUM(COUNTIF(INDIRECT({"E15","H15","M15","Q15","V15","Z15","AE15","AJ15","AO15","AS15","AW15","BA15","BE15","BH15","BL15","BO15","BR15","BU15","BY15","CC15","CE15","CG15"}),"&lt;3"))-CY15</f>
        <v>4</v>
      </c>
      <c r="CY15" s="438">
        <f ca="1">SUM(COUNTIF(INDIRECT({"E15","H15","M15","Q15","V15","Z15","AE15","AJ15","AO15","AS15","AW15","BA15","BE15","BH15","BL15","BO15","BR15","BU15","BY15","CC15","CE15","CG15"}),"=0"))</f>
        <v>2</v>
      </c>
      <c r="CZ15" s="5">
        <v>6</v>
      </c>
      <c r="DA15" s="5">
        <v>0</v>
      </c>
    </row>
    <row r="16" spans="1:105" ht="12.75">
      <c r="A16" s="2">
        <v>13</v>
      </c>
      <c r="B16" s="204" t="s">
        <v>166</v>
      </c>
      <c r="C16" s="316">
        <v>7</v>
      </c>
      <c r="D16" s="313">
        <v>7</v>
      </c>
      <c r="E16" s="313">
        <f t="shared" si="4"/>
        <v>7</v>
      </c>
      <c r="F16" s="368">
        <v>5</v>
      </c>
      <c r="G16" s="313">
        <v>6</v>
      </c>
      <c r="H16" s="313">
        <f t="shared" si="5"/>
        <v>5.5</v>
      </c>
      <c r="I16" s="423" t="s">
        <v>405</v>
      </c>
      <c r="J16" s="318">
        <v>7</v>
      </c>
      <c r="K16" s="316">
        <v>5</v>
      </c>
      <c r="L16" s="313">
        <v>4</v>
      </c>
      <c r="M16" s="313">
        <f t="shared" si="6"/>
        <v>4.5</v>
      </c>
      <c r="N16" s="359">
        <f t="shared" si="7"/>
        <v>4.5</v>
      </c>
      <c r="O16" s="368">
        <v>7</v>
      </c>
      <c r="P16" s="313">
        <v>7</v>
      </c>
      <c r="Q16" s="313">
        <v>7</v>
      </c>
      <c r="R16" s="423"/>
      <c r="S16" s="359">
        <v>7</v>
      </c>
      <c r="T16" s="368">
        <v>7</v>
      </c>
      <c r="U16" s="313">
        <v>5</v>
      </c>
      <c r="V16" s="313">
        <f t="shared" si="8"/>
        <v>6</v>
      </c>
      <c r="W16" s="359">
        <f t="shared" si="9"/>
        <v>6</v>
      </c>
      <c r="X16" s="368">
        <v>5</v>
      </c>
      <c r="Y16" s="313">
        <v>6</v>
      </c>
      <c r="Z16" s="313">
        <f t="shared" si="10"/>
        <v>5.5</v>
      </c>
      <c r="AA16" s="313">
        <v>6</v>
      </c>
      <c r="AB16" s="318">
        <v>6</v>
      </c>
      <c r="AC16" s="316">
        <v>6</v>
      </c>
      <c r="AD16" s="313">
        <v>5</v>
      </c>
      <c r="AE16" s="313">
        <f t="shared" si="11"/>
        <v>5.5</v>
      </c>
      <c r="AF16" s="313">
        <v>5</v>
      </c>
      <c r="AG16" s="313">
        <v>6</v>
      </c>
      <c r="AH16" s="316">
        <v>4</v>
      </c>
      <c r="AI16" s="313">
        <v>4</v>
      </c>
      <c r="AJ16" s="313">
        <f t="shared" si="12"/>
        <v>4</v>
      </c>
      <c r="AK16" s="313">
        <v>3</v>
      </c>
      <c r="AL16" s="359">
        <v>4</v>
      </c>
      <c r="AM16" s="316">
        <v>8</v>
      </c>
      <c r="AN16" s="313">
        <v>6</v>
      </c>
      <c r="AO16" s="313">
        <f t="shared" si="13"/>
        <v>7</v>
      </c>
      <c r="AP16" s="318">
        <f t="shared" si="14"/>
        <v>7</v>
      </c>
      <c r="AQ16" s="316">
        <v>7</v>
      </c>
      <c r="AR16" s="313">
        <v>5</v>
      </c>
      <c r="AS16" s="313">
        <f t="shared" si="15"/>
        <v>6</v>
      </c>
      <c r="AT16" s="318">
        <f t="shared" si="16"/>
        <v>6</v>
      </c>
      <c r="AU16" s="316">
        <v>5</v>
      </c>
      <c r="AV16" s="313">
        <v>5</v>
      </c>
      <c r="AW16" s="313">
        <f t="shared" si="17"/>
        <v>5</v>
      </c>
      <c r="AX16" s="318">
        <f t="shared" si="18"/>
        <v>5</v>
      </c>
      <c r="AY16" s="316">
        <v>7</v>
      </c>
      <c r="AZ16" s="313">
        <v>5</v>
      </c>
      <c r="BA16" s="313">
        <f t="shared" si="19"/>
        <v>6</v>
      </c>
      <c r="BB16" s="318">
        <f t="shared" si="20"/>
        <v>6</v>
      </c>
      <c r="BC16" s="316">
        <v>1</v>
      </c>
      <c r="BD16" s="313">
        <v>1</v>
      </c>
      <c r="BE16" s="318">
        <f t="shared" si="32"/>
        <v>1</v>
      </c>
      <c r="BF16" s="316">
        <v>5</v>
      </c>
      <c r="BG16" s="313">
        <v>6</v>
      </c>
      <c r="BH16" s="313">
        <f t="shared" si="21"/>
        <v>5.5</v>
      </c>
      <c r="BI16" s="318">
        <f t="shared" si="22"/>
        <v>5.5</v>
      </c>
      <c r="BJ16" s="316">
        <v>5</v>
      </c>
      <c r="BK16" s="313">
        <v>4</v>
      </c>
      <c r="BL16" s="313">
        <f t="shared" si="23"/>
        <v>4.5</v>
      </c>
      <c r="BM16" s="359">
        <f t="shared" si="0"/>
        <v>4.5</v>
      </c>
      <c r="BN16" s="309">
        <v>7</v>
      </c>
      <c r="BO16" s="309">
        <f t="shared" si="24"/>
        <v>7</v>
      </c>
      <c r="BP16" s="309">
        <f t="shared" si="25"/>
        <v>7</v>
      </c>
      <c r="BQ16" s="316">
        <v>6</v>
      </c>
      <c r="BR16" s="313">
        <f t="shared" si="26"/>
        <v>6</v>
      </c>
      <c r="BS16" s="359">
        <v>6</v>
      </c>
      <c r="BT16" s="316">
        <v>5</v>
      </c>
      <c r="BU16" s="313">
        <f t="shared" si="27"/>
        <v>5</v>
      </c>
      <c r="BV16" s="313">
        <v>5</v>
      </c>
      <c r="BW16" s="359">
        <v>5</v>
      </c>
      <c r="BX16" s="368">
        <v>5</v>
      </c>
      <c r="BY16" s="313">
        <f t="shared" si="31"/>
        <v>5</v>
      </c>
      <c r="BZ16" s="313">
        <v>5</v>
      </c>
      <c r="CA16" s="359">
        <v>5</v>
      </c>
      <c r="CB16" s="316">
        <v>4</v>
      </c>
      <c r="CC16" s="318">
        <f t="shared" si="28"/>
        <v>4</v>
      </c>
      <c r="CD16" s="316">
        <v>6</v>
      </c>
      <c r="CE16" s="318">
        <f t="shared" si="29"/>
        <v>6</v>
      </c>
      <c r="CF16" s="316">
        <v>5</v>
      </c>
      <c r="CG16" s="359">
        <f t="shared" si="30"/>
        <v>5</v>
      </c>
      <c r="CH16" s="335">
        <f t="shared" si="1"/>
        <v>5.631578947368421</v>
      </c>
      <c r="CI16" s="268">
        <f t="shared" si="2"/>
        <v>5.055555555555555</v>
      </c>
      <c r="CJ16" s="307">
        <f t="shared" si="3"/>
        <v>5.363636363636363</v>
      </c>
      <c r="CK16" s="390">
        <f ca="1">SUM(COUNTIF(INDIRECT({"c16","F16","K16","O16","T16","X16","AC16","AH16","AM16","AQ16","AU16","AY16","BC16","BF16","BJ16","BN16","BQ16","BT16","BX16"}),"&gt;8"))</f>
        <v>0</v>
      </c>
      <c r="CL16" s="391">
        <f ca="1">SUM(COUNTIF(INDIRECT({"c16","F16","K16","O16","T16","X16","AC16","AH16","AM16","AQ16","AU16","AY16","BC16","BF16","BJ16","BN16","BQ16","BT16","BX16"}),"&gt;5"))-CK16</f>
        <v>9</v>
      </c>
      <c r="CM16" s="392">
        <f ca="1">SUM(COUNTIF(INDIRECT({"c16","F16","K16","O16","T16","X16","AC16","AH16","AM16","AQ16","AU16","AY16","BC16","BF16","BJ16","BN16","BQ16","BT16","BX16"}),"&gt;2"))-CL16-CK16</f>
        <v>9</v>
      </c>
      <c r="CN16" s="393">
        <f ca="1">SUM(COUNTIF(INDIRECT({"c16","F16","K16","O16","T16","X16","AC16","AH16","AM16","AQ16","AU16","AY16","BC16","BF16","BJ16","BN16","BQ16","BT16","BX16"}),"&lt;3"))-CO16</f>
        <v>1</v>
      </c>
      <c r="CO16" s="417">
        <f ca="1">SUM(COUNTIF(INDIRECT({"c16","F16","K16","O16","T16","X16","AC16","AH16","AM16","AQ16","AU16","AY16","BC16","BF16","BJ16","BN16","BQ16","BT16","BX16"}),"=0"))</f>
        <v>0</v>
      </c>
      <c r="CP16" s="390">
        <f ca="1">SUM(COUNTIF(INDIRECT({"D16","G16","L16","P16","U16","Y16","AD16","AI16","AN16","AR16","AV16","AZ16","BD16","BG16","BK16","CB16","CD16","CF16"}),"&gt;8"))</f>
        <v>0</v>
      </c>
      <c r="CQ16" s="391">
        <f ca="1">SUM(COUNTIF(INDIRECT({"D16","G16","L16","P16","U16","Y16","AD16","AI16","AN16","AR16","AV16","AZ16","BD16","BG16","BK16","CB16","CD16","CF16"}),"&gt;5"))-CP16</f>
        <v>7</v>
      </c>
      <c r="CR16" s="392">
        <f ca="1">SUM(COUNTIF(INDIRECT({"D16","G16","L16","P16","U16","Y16","AD16","AI16","AN16","AR16","AV16","AZ16","BD16","BG16","BK16","CB16","CD16","CF16"}),"&gt;2"))-CQ16-CP16</f>
        <v>10</v>
      </c>
      <c r="CS16" s="393">
        <f ca="1">SUM(COUNTIF(INDIRECT({"D16","G16","L16","P16","U16","Y16","AD16","AI16","AN16","AR16","AV16","AZ16","BD16","BG16","BK16","CB16","CD16","CF16"}),"&lt;3"))-CT16</f>
        <v>1</v>
      </c>
      <c r="CT16" s="417">
        <f ca="1">SUM(COUNTIF(INDIRECT({"D16","G16","L16","P16","U16","Y16","AD16","AI16","AN16","AR16","AV16","AZ16","BD16","BG16","BK16","CB16","CD16","CF16"}),"=0"))</f>
        <v>0</v>
      </c>
      <c r="CU16" s="390">
        <f ca="1">SUM(COUNTIF(INDIRECT({"E16","H16","M16","Q16","V16","Z16","AE16","AJ16","AO16","AS16","AW16","BA16","BE16","BH16","BL16","BO16","BR16","BU16","BY16","CC16","CE16","CG16"}),"&gt;8"))</f>
        <v>0</v>
      </c>
      <c r="CV16" s="391">
        <f ca="1">SUM(COUNTIF(INDIRECT({"E16","H16","M16","Q16","V16","Z16","AE16","AJ16","AO16","AS16","AW16","BA16","BE16","BH16","BL16","BO16","BR16","BU16","BY16","CC16","CE16","CG16"}),"&gt;5"))-CU16</f>
        <v>13</v>
      </c>
      <c r="CW16" s="392">
        <f ca="1">SUM(COUNTIF(INDIRECT({"E16","H16","M16","Q16","V16","Z16","AE16","AJ16","AO16","AS16","AW16","BA16","BE16","BH16","BL16","BO16","BR16","BU16","BY16","CC16","CE16","CG16"}),"&gt;2"))-CV16-CU16</f>
        <v>8</v>
      </c>
      <c r="CX16" s="393">
        <f ca="1">SUM(COUNTIF(INDIRECT({"E16","H16","M16","Q16","V16","Z16","AE16","AJ16","AO16","AS16","AW16","BA16","BE16","BH16","BL16","BO16","BR16","BU16","BY16","CC16","CE16","CG16"}),"&lt;3"))-CY16</f>
        <v>1</v>
      </c>
      <c r="CY16" s="438">
        <f ca="1">SUM(COUNTIF(INDIRECT({"E16","H16","M16","Q16","V16","Z16","AE16","AJ16","AO16","AS16","AW16","BA16","BE16","BH16","BL16","BO16","BR16","BU16","BY16","CC16","CE16","CG16"}),"=0"))</f>
        <v>0</v>
      </c>
      <c r="CZ16" s="5">
        <v>7</v>
      </c>
      <c r="DA16" s="5">
        <v>7</v>
      </c>
    </row>
    <row r="17" spans="1:105" ht="12.75">
      <c r="A17" s="2">
        <v>14</v>
      </c>
      <c r="B17" s="204" t="s">
        <v>167</v>
      </c>
      <c r="C17" s="316">
        <v>8</v>
      </c>
      <c r="D17" s="313">
        <v>7</v>
      </c>
      <c r="E17" s="313">
        <f t="shared" si="4"/>
        <v>7.5</v>
      </c>
      <c r="F17" s="368">
        <v>5</v>
      </c>
      <c r="G17" s="313">
        <v>5</v>
      </c>
      <c r="H17" s="313">
        <f t="shared" si="5"/>
        <v>5</v>
      </c>
      <c r="I17" s="423" t="s">
        <v>403</v>
      </c>
      <c r="J17" s="318">
        <v>5</v>
      </c>
      <c r="K17" s="316">
        <v>4</v>
      </c>
      <c r="L17" s="313">
        <v>6</v>
      </c>
      <c r="M17" s="313">
        <f t="shared" si="6"/>
        <v>5</v>
      </c>
      <c r="N17" s="359">
        <f t="shared" si="7"/>
        <v>5</v>
      </c>
      <c r="O17" s="368">
        <v>7</v>
      </c>
      <c r="P17" s="313">
        <v>7</v>
      </c>
      <c r="Q17" s="313">
        <v>7</v>
      </c>
      <c r="R17" s="423"/>
      <c r="S17" s="359">
        <v>7</v>
      </c>
      <c r="T17" s="368">
        <v>7</v>
      </c>
      <c r="U17" s="313">
        <v>8</v>
      </c>
      <c r="V17" s="313">
        <f t="shared" si="8"/>
        <v>7.5</v>
      </c>
      <c r="W17" s="359">
        <f t="shared" si="9"/>
        <v>7.5</v>
      </c>
      <c r="X17" s="368">
        <v>7</v>
      </c>
      <c r="Y17" s="313">
        <v>7</v>
      </c>
      <c r="Z17" s="313">
        <f t="shared" si="10"/>
        <v>7</v>
      </c>
      <c r="AA17" s="313">
        <v>7</v>
      </c>
      <c r="AB17" s="318">
        <v>7</v>
      </c>
      <c r="AC17" s="316">
        <v>7</v>
      </c>
      <c r="AD17" s="313">
        <v>7</v>
      </c>
      <c r="AE17" s="313">
        <f t="shared" si="11"/>
        <v>7</v>
      </c>
      <c r="AF17" s="313">
        <v>7</v>
      </c>
      <c r="AG17" s="313">
        <v>7</v>
      </c>
      <c r="AH17" s="316">
        <v>4</v>
      </c>
      <c r="AI17" s="313">
        <v>6</v>
      </c>
      <c r="AJ17" s="313">
        <f t="shared" si="12"/>
        <v>5</v>
      </c>
      <c r="AK17" s="313">
        <v>4</v>
      </c>
      <c r="AL17" s="359">
        <v>5</v>
      </c>
      <c r="AM17" s="316">
        <v>7</v>
      </c>
      <c r="AN17" s="313">
        <v>7</v>
      </c>
      <c r="AO17" s="313">
        <f t="shared" si="13"/>
        <v>7</v>
      </c>
      <c r="AP17" s="318">
        <f t="shared" si="14"/>
        <v>7</v>
      </c>
      <c r="AQ17" s="316">
        <v>9</v>
      </c>
      <c r="AR17" s="313">
        <v>7</v>
      </c>
      <c r="AS17" s="313">
        <f t="shared" si="15"/>
        <v>8</v>
      </c>
      <c r="AT17" s="318">
        <f t="shared" si="16"/>
        <v>8</v>
      </c>
      <c r="AU17" s="316">
        <v>6</v>
      </c>
      <c r="AV17" s="313">
        <v>6</v>
      </c>
      <c r="AW17" s="313">
        <f t="shared" si="17"/>
        <v>6</v>
      </c>
      <c r="AX17" s="318">
        <f t="shared" si="18"/>
        <v>6</v>
      </c>
      <c r="AY17" s="316">
        <v>7</v>
      </c>
      <c r="AZ17" s="313">
        <v>7</v>
      </c>
      <c r="BA17" s="313">
        <f t="shared" si="19"/>
        <v>7</v>
      </c>
      <c r="BB17" s="318">
        <f t="shared" si="20"/>
        <v>7</v>
      </c>
      <c r="BC17" s="316">
        <v>7</v>
      </c>
      <c r="BD17" s="313">
        <v>7</v>
      </c>
      <c r="BE17" s="318">
        <f t="shared" si="32"/>
        <v>7</v>
      </c>
      <c r="BF17" s="316">
        <v>7</v>
      </c>
      <c r="BG17" s="313">
        <v>6</v>
      </c>
      <c r="BH17" s="313">
        <f t="shared" si="21"/>
        <v>6.5</v>
      </c>
      <c r="BI17" s="318">
        <f t="shared" si="22"/>
        <v>6.5</v>
      </c>
      <c r="BJ17" s="316">
        <v>5</v>
      </c>
      <c r="BK17" s="313">
        <v>6</v>
      </c>
      <c r="BL17" s="313">
        <f t="shared" si="23"/>
        <v>5.5</v>
      </c>
      <c r="BM17" s="359">
        <f t="shared" si="0"/>
        <v>5.5</v>
      </c>
      <c r="BN17" s="309">
        <v>7</v>
      </c>
      <c r="BO17" s="309">
        <f t="shared" si="24"/>
        <v>7</v>
      </c>
      <c r="BP17" s="309">
        <f t="shared" si="25"/>
        <v>7</v>
      </c>
      <c r="BQ17" s="316">
        <v>6</v>
      </c>
      <c r="BR17" s="313">
        <f t="shared" si="26"/>
        <v>6</v>
      </c>
      <c r="BS17" s="359">
        <v>7</v>
      </c>
      <c r="BT17" s="316">
        <v>6</v>
      </c>
      <c r="BU17" s="313">
        <f t="shared" si="27"/>
        <v>6</v>
      </c>
      <c r="BV17" s="313">
        <v>7</v>
      </c>
      <c r="BW17" s="359">
        <v>6</v>
      </c>
      <c r="BX17" s="368">
        <v>7</v>
      </c>
      <c r="BY17" s="313">
        <f t="shared" si="31"/>
        <v>7</v>
      </c>
      <c r="BZ17" s="313">
        <v>6</v>
      </c>
      <c r="CA17" s="359">
        <v>6</v>
      </c>
      <c r="CB17" s="316">
        <v>5</v>
      </c>
      <c r="CC17" s="318">
        <f t="shared" si="28"/>
        <v>5</v>
      </c>
      <c r="CD17" s="316">
        <v>5</v>
      </c>
      <c r="CE17" s="318">
        <f t="shared" si="29"/>
        <v>5</v>
      </c>
      <c r="CF17" s="316">
        <v>5</v>
      </c>
      <c r="CG17" s="359">
        <f t="shared" si="30"/>
        <v>5</v>
      </c>
      <c r="CH17" s="335">
        <f t="shared" si="1"/>
        <v>6.473684210526316</v>
      </c>
      <c r="CI17" s="268">
        <f t="shared" si="2"/>
        <v>6.333333333333333</v>
      </c>
      <c r="CJ17" s="307">
        <f t="shared" si="3"/>
        <v>6.318181818181818</v>
      </c>
      <c r="CK17" s="390">
        <f ca="1">SUM(COUNTIF(INDIRECT({"c17","F17","K17","O17","T17","X17","AC17","AH17","AM17","AQ17","AU17","AY17","BC17","BF17","BJ17","BN17","BQ17","BT17","BX17"}),"&gt;8"))</f>
        <v>1</v>
      </c>
      <c r="CL17" s="391">
        <f ca="1">SUM(COUNTIF(INDIRECT({"c17","F17","K17","O17","T17","X17","AC17","AH17","AM17","AQ17","AU17","AY17","BC17","BF17","BJ17","BN17","BQ17","BT17","BX17"}),"&gt;5"))-CK17</f>
        <v>14</v>
      </c>
      <c r="CM17" s="392">
        <f ca="1">SUM(COUNTIF(INDIRECT({"c17","F17","K17","O17","T17","X17","AC17","AH17","AM17","AQ17","AU17","AY17","BC17","BF17","BJ17","BN17","BQ17","BT17","BX17"}),"&gt;2"))-CL17-CK17</f>
        <v>4</v>
      </c>
      <c r="CN17" s="393">
        <f ca="1">SUM(COUNTIF(INDIRECT({"c17","F17","K17","O17","T17","X17","AC17","AH17","AM17","AQ17","AU17","AY17","BC17","BF17","BJ17","BN17","BQ17","BT17","BX17"}),"&lt;3"))-CO17</f>
        <v>0</v>
      </c>
      <c r="CO17" s="417">
        <f ca="1">SUM(COUNTIF(INDIRECT({"c17","F17","K17","O17","T17","X17","AC17","AH17","AM17","AQ17","AU17","AY17","BC17","BF17","BJ17","BN17","BQ17","BT17","BX17"}),"=0"))</f>
        <v>0</v>
      </c>
      <c r="CP17" s="390">
        <f ca="1">SUM(COUNTIF(INDIRECT({"D17","G17","L17","P17","U17","Y17","AD17","AI17","AN17","AR17","AV17","AZ17","BD17","BG17","BK17","CB17","CD17","CF17"}),"&gt;8"))</f>
        <v>0</v>
      </c>
      <c r="CQ17" s="391">
        <f ca="1">SUM(COUNTIF(INDIRECT({"D17","G17","L17","P17","U17","Y17","AD17","AI17","AN17","AR17","AV17","AZ17","BD17","BG17","BK17","CB17","CD17","CF17"}),"&gt;5"))-CP17</f>
        <v>14</v>
      </c>
      <c r="CR17" s="392">
        <f ca="1">SUM(COUNTIF(INDIRECT({"D17","G17","L17","P17","U17","Y17","AD17","AI17","AN17","AR17","AV17","AZ17","BD17","BG17","BK17","CB17","CD17","CF17"}),"&gt;2"))-CQ17-CP17</f>
        <v>4</v>
      </c>
      <c r="CS17" s="393">
        <f ca="1">SUM(COUNTIF(INDIRECT({"D17","G17","L17","P17","U17","Y17","AD17","AI17","AN17","AR17","AV17","AZ17","BD17","BG17","BK17","CB17","CD17","CF17"}),"&lt;3"))-CT17</f>
        <v>0</v>
      </c>
      <c r="CT17" s="417">
        <f ca="1">SUM(COUNTIF(INDIRECT({"D17","G17","L17","P17","U17","Y17","AD17","AI17","AN17","AR17","AV17","AZ17","BD17","BG17","BK17","CB17","CD17","CF17"}),"=0"))</f>
        <v>0</v>
      </c>
      <c r="CU17" s="390">
        <f ca="1">SUM(COUNTIF(INDIRECT({"E17","H17","M17","Q17","V17","Z17","AE17","AJ17","AO17","AS17","AW17","BA17","BE17","BH17","BL17","BO17","BR17","BU17","BY17","CC17","CE17","CG17"}),"&gt;8"))</f>
        <v>0</v>
      </c>
      <c r="CV17" s="391">
        <f ca="1">SUM(COUNTIF(INDIRECT({"E17","H17","M17","Q17","V17","Z17","AE17","AJ17","AO17","AS17","AW17","BA17","BE17","BH17","BL17","BO17","BR17","BU17","BY17","CC17","CE17","CG17"}),"&gt;5"))-CU17</f>
        <v>16</v>
      </c>
      <c r="CW17" s="392">
        <f ca="1">SUM(COUNTIF(INDIRECT({"E17","H17","M17","Q17","V17","Z17","AE17","AJ17","AO17","AS17","AW17","BA17","BE17","BH17","BL17","BO17","BR17","BU17","BY17","CC17","CE17","CG17"}),"&gt;2"))-CV17-CU17</f>
        <v>6</v>
      </c>
      <c r="CX17" s="393">
        <f ca="1">SUM(COUNTIF(INDIRECT({"E17","H17","M17","Q17","V17","Z17","AE17","AJ17","AO17","AS17","AW17","BA17","BE17","BH17","BL17","BO17","BR17","BU17","BY17","CC17","CE17","CG17"}),"&lt;3"))-CY17</f>
        <v>0</v>
      </c>
      <c r="CY17" s="438">
        <f ca="1">SUM(COUNTIF(INDIRECT({"E17","H17","M17","Q17","V17","Z17","AE17","AJ17","AO17","AS17","AW17","BA17","BE17","BH17","BL17","BO17","BR17","BU17","BY17","CC17","CE17","CG17"}),"=0"))</f>
        <v>0</v>
      </c>
      <c r="CZ17" s="5">
        <v>8</v>
      </c>
      <c r="DA17" s="5">
        <v>7</v>
      </c>
    </row>
    <row r="18" spans="1:105" ht="12.75">
      <c r="A18" s="2">
        <v>15</v>
      </c>
      <c r="B18" s="204" t="s">
        <v>168</v>
      </c>
      <c r="C18" s="316">
        <v>8</v>
      </c>
      <c r="D18" s="313">
        <v>9</v>
      </c>
      <c r="E18" s="313">
        <f t="shared" si="4"/>
        <v>8.5</v>
      </c>
      <c r="F18" s="368">
        <v>6</v>
      </c>
      <c r="G18" s="313">
        <v>6</v>
      </c>
      <c r="H18" s="313">
        <f t="shared" si="5"/>
        <v>6</v>
      </c>
      <c r="I18" s="423"/>
      <c r="J18" s="318">
        <v>6</v>
      </c>
      <c r="K18" s="316">
        <v>9</v>
      </c>
      <c r="L18" s="313">
        <v>8</v>
      </c>
      <c r="M18" s="313">
        <f t="shared" si="6"/>
        <v>8.5</v>
      </c>
      <c r="N18" s="359">
        <f t="shared" si="7"/>
        <v>8.5</v>
      </c>
      <c r="O18" s="368">
        <v>7</v>
      </c>
      <c r="P18" s="313">
        <v>7</v>
      </c>
      <c r="Q18" s="313">
        <v>7</v>
      </c>
      <c r="R18" s="423" t="s">
        <v>396</v>
      </c>
      <c r="S18" s="359">
        <v>7</v>
      </c>
      <c r="T18" s="368">
        <v>6</v>
      </c>
      <c r="U18" s="313">
        <v>6</v>
      </c>
      <c r="V18" s="313">
        <f t="shared" si="8"/>
        <v>6</v>
      </c>
      <c r="W18" s="359">
        <f t="shared" si="9"/>
        <v>6</v>
      </c>
      <c r="X18" s="368">
        <v>8</v>
      </c>
      <c r="Y18" s="313">
        <v>8</v>
      </c>
      <c r="Z18" s="313">
        <f t="shared" si="10"/>
        <v>8</v>
      </c>
      <c r="AA18" s="313">
        <v>9</v>
      </c>
      <c r="AB18" s="318">
        <v>9</v>
      </c>
      <c r="AC18" s="316">
        <v>6</v>
      </c>
      <c r="AD18" s="313">
        <v>5</v>
      </c>
      <c r="AE18" s="313">
        <f t="shared" si="11"/>
        <v>5.5</v>
      </c>
      <c r="AF18" s="313">
        <v>8</v>
      </c>
      <c r="AG18" s="313">
        <v>7</v>
      </c>
      <c r="AH18" s="316">
        <v>7</v>
      </c>
      <c r="AI18" s="313">
        <v>5</v>
      </c>
      <c r="AJ18" s="313">
        <f t="shared" si="12"/>
        <v>6</v>
      </c>
      <c r="AK18" s="313">
        <v>7</v>
      </c>
      <c r="AL18" s="359">
        <v>7</v>
      </c>
      <c r="AM18" s="316">
        <v>7</v>
      </c>
      <c r="AN18" s="313">
        <v>8</v>
      </c>
      <c r="AO18" s="313">
        <f t="shared" si="13"/>
        <v>7.5</v>
      </c>
      <c r="AP18" s="318">
        <f t="shared" si="14"/>
        <v>7.5</v>
      </c>
      <c r="AQ18" s="316">
        <v>6</v>
      </c>
      <c r="AR18" s="313">
        <v>8</v>
      </c>
      <c r="AS18" s="313">
        <f t="shared" si="15"/>
        <v>7</v>
      </c>
      <c r="AT18" s="318">
        <f t="shared" si="16"/>
        <v>7</v>
      </c>
      <c r="AU18" s="316">
        <v>6</v>
      </c>
      <c r="AV18" s="313">
        <v>6</v>
      </c>
      <c r="AW18" s="313">
        <f t="shared" si="17"/>
        <v>6</v>
      </c>
      <c r="AX18" s="318">
        <f t="shared" si="18"/>
        <v>6</v>
      </c>
      <c r="AY18" s="316">
        <v>6</v>
      </c>
      <c r="AZ18" s="313">
        <v>6</v>
      </c>
      <c r="BA18" s="313">
        <f t="shared" si="19"/>
        <v>6</v>
      </c>
      <c r="BB18" s="318">
        <f t="shared" si="20"/>
        <v>6</v>
      </c>
      <c r="BC18" s="316">
        <v>8</v>
      </c>
      <c r="BD18" s="313">
        <v>8</v>
      </c>
      <c r="BE18" s="318">
        <f t="shared" si="32"/>
        <v>8</v>
      </c>
      <c r="BF18" s="316">
        <v>8</v>
      </c>
      <c r="BG18" s="313">
        <v>8</v>
      </c>
      <c r="BH18" s="313">
        <f t="shared" si="21"/>
        <v>8</v>
      </c>
      <c r="BI18" s="318">
        <f t="shared" si="22"/>
        <v>8</v>
      </c>
      <c r="BJ18" s="316">
        <v>9</v>
      </c>
      <c r="BK18" s="313">
        <v>9</v>
      </c>
      <c r="BL18" s="313">
        <f t="shared" si="23"/>
        <v>9</v>
      </c>
      <c r="BM18" s="359">
        <f t="shared" si="0"/>
        <v>9</v>
      </c>
      <c r="BN18" s="309">
        <v>8</v>
      </c>
      <c r="BO18" s="309">
        <f t="shared" si="24"/>
        <v>8</v>
      </c>
      <c r="BP18" s="309">
        <f t="shared" si="25"/>
        <v>8</v>
      </c>
      <c r="BQ18" s="316">
        <v>7</v>
      </c>
      <c r="BR18" s="313">
        <f t="shared" si="26"/>
        <v>7</v>
      </c>
      <c r="BS18" s="359">
        <v>8</v>
      </c>
      <c r="BT18" s="316">
        <v>6</v>
      </c>
      <c r="BU18" s="313">
        <f t="shared" si="27"/>
        <v>6</v>
      </c>
      <c r="BV18" s="313">
        <v>8</v>
      </c>
      <c r="BW18" s="359">
        <v>7</v>
      </c>
      <c r="BX18" s="368">
        <v>6</v>
      </c>
      <c r="BY18" s="313">
        <f t="shared" si="31"/>
        <v>6</v>
      </c>
      <c r="BZ18" s="313">
        <v>5</v>
      </c>
      <c r="CA18" s="359">
        <v>6</v>
      </c>
      <c r="CB18" s="316">
        <v>6</v>
      </c>
      <c r="CC18" s="318">
        <f t="shared" si="28"/>
        <v>6</v>
      </c>
      <c r="CD18" s="316">
        <v>6</v>
      </c>
      <c r="CE18" s="318">
        <f t="shared" si="29"/>
        <v>6</v>
      </c>
      <c r="CF18" s="316">
        <v>7</v>
      </c>
      <c r="CG18" s="359">
        <f t="shared" si="30"/>
        <v>7</v>
      </c>
      <c r="CH18" s="335">
        <f t="shared" si="1"/>
        <v>7.052631578947368</v>
      </c>
      <c r="CI18" s="268">
        <f t="shared" si="2"/>
        <v>7</v>
      </c>
      <c r="CJ18" s="307">
        <f t="shared" si="3"/>
        <v>6.954545454545454</v>
      </c>
      <c r="CK18" s="390">
        <f ca="1">SUM(COUNTIF(INDIRECT({"c18","F18","K18","O18","T18","X18","AC18","AH18","AM18","AQ18","AU18","AY18","BC18","BF18","BJ18","BN18","BQ18","BT18","BX18"}),"&gt;8"))</f>
        <v>2</v>
      </c>
      <c r="CL18" s="391">
        <f ca="1">SUM(COUNTIF(INDIRECT({"c18","F18","K18","O18","T18","X18","AC18","AH18","AM18","AQ18","AU18","AY18","BC18","BF18","BJ18","BN18","BQ18","BT18","BX18"}),"&gt;5"))-CK18</f>
        <v>17</v>
      </c>
      <c r="CM18" s="392">
        <f ca="1">SUM(COUNTIF(INDIRECT({"c18","F18","K18","O18","T18","X18","AC18","AH18","AM18","AQ18","AU18","AY18","BC18","BF18","BJ18","BN18","BQ18","BT18","BX18"}),"&gt;2"))-CL18-CK18</f>
        <v>0</v>
      </c>
      <c r="CN18" s="393">
        <f ca="1">SUM(COUNTIF(INDIRECT({"c18","F18","K18","O18","T18","X18","AC18","AH18","AM18","AQ18","AU18","AY18","BC18","BF18","BJ18","BN18","BQ18","BT18","BX18"}),"&lt;3"))-CO18</f>
        <v>0</v>
      </c>
      <c r="CO18" s="417">
        <f ca="1">SUM(COUNTIF(INDIRECT({"c18","F18","K18","O18","T18","X18","AC18","AH18","AM18","AQ18","AU18","AY18","BC18","BF18","BJ18","BN18","BQ18","BT18","BX18"}),"=0"))</f>
        <v>0</v>
      </c>
      <c r="CP18" s="390">
        <f ca="1">SUM(COUNTIF(INDIRECT({"D18","G18","L18","P18","U18","Y18","AD18","AI18","AN18","AR18","AV18","AZ18","BD18","BG18","BK18","CB18","CD18","CF18"}),"&gt;8"))</f>
        <v>2</v>
      </c>
      <c r="CQ18" s="391">
        <f ca="1">SUM(COUNTIF(INDIRECT({"D18","G18","L18","P18","U18","Y18","AD18","AI18","AN18","AR18","AV18","AZ18","BD18","BG18","BK18","CB18","CD18","CF18"}),"&gt;5"))-CP18</f>
        <v>14</v>
      </c>
      <c r="CR18" s="392">
        <f ca="1">SUM(COUNTIF(INDIRECT({"D18","G18","L18","P18","U18","Y18","AD18","AI18","AN18","AR18","AV18","AZ18","BD18","BG18","BK18","CB18","CD18","CF18"}),"&gt;2"))-CQ18-CP18</f>
        <v>2</v>
      </c>
      <c r="CS18" s="393">
        <f ca="1">SUM(COUNTIF(INDIRECT({"D18","G18","L18","P18","U18","Y18","AD18","AI18","AN18","AR18","AV18","AZ18","BD18","BG18","BK18","CB18","CD18","CF18"}),"&lt;3"))-CT18</f>
        <v>0</v>
      </c>
      <c r="CT18" s="417">
        <f ca="1">SUM(COUNTIF(INDIRECT({"D18","G18","L18","P18","U18","Y18","AD18","AI18","AN18","AR18","AV18","AZ18","BD18","BG18","BK18","CB18","CD18","CF18"}),"=0"))</f>
        <v>0</v>
      </c>
      <c r="CU18" s="390">
        <f ca="1">SUM(COUNTIF(INDIRECT({"E18","H18","M18","Q18","V18","Z18","AE18","AJ18","AO18","AS18","AW18","BA18","BE18","BH18","BL18","BO18","BR18","BU18","BY18","CC18","CE18","CG18"}),"&gt;8"))</f>
        <v>3</v>
      </c>
      <c r="CV18" s="391">
        <f ca="1">SUM(COUNTIF(INDIRECT({"E18","H18","M18","Q18","V18","Z18","AE18","AJ18","AO18","AS18","AW18","BA18","BE18","BH18","BL18","BO18","BR18","BU18","BY18","CC18","CE18","CG18"}),"&gt;5"))-CU18</f>
        <v>19</v>
      </c>
      <c r="CW18" s="392">
        <f ca="1">SUM(COUNTIF(INDIRECT({"E18","H18","M18","Q18","V18","Z18","AE18","AJ18","AO18","AS18","AW18","BA18","BE18","BH18","BL18","BO18","BR18","BU18","BY18","CC18","CE18","CG18"}),"&gt;2"))-CV18-CU18</f>
        <v>0</v>
      </c>
      <c r="CX18" s="393">
        <f ca="1">SUM(COUNTIF(INDIRECT({"E18","H18","M18","Q18","V18","Z18","AE18","AJ18","AO18","AS18","AW18","BA18","BE18","BH18","BL18","BO18","BR18","BU18","BY18","CC18","CE18","CG18"}),"&lt;3"))-CY18</f>
        <v>0</v>
      </c>
      <c r="CY18" s="438">
        <f ca="1">SUM(COUNTIF(INDIRECT({"E18","H18","M18","Q18","V18","Z18","AE18","AJ18","AO18","AS18","AW18","BA18","BE18","BH18","BL18","BO18","BR18","BU18","BY18","CC18","CE18","CG18"}),"=0"))</f>
        <v>0</v>
      </c>
      <c r="CZ18" s="5">
        <v>8</v>
      </c>
      <c r="DA18" s="5">
        <v>9</v>
      </c>
    </row>
    <row r="19" spans="1:105" ht="12.75">
      <c r="A19" s="2">
        <v>16</v>
      </c>
      <c r="B19" s="204" t="s">
        <v>169</v>
      </c>
      <c r="C19" s="316">
        <v>8</v>
      </c>
      <c r="D19" s="313">
        <v>7</v>
      </c>
      <c r="E19" s="313">
        <f t="shared" si="4"/>
        <v>7.5</v>
      </c>
      <c r="F19" s="368">
        <v>5</v>
      </c>
      <c r="G19" s="313">
        <v>6</v>
      </c>
      <c r="H19" s="313">
        <f t="shared" si="5"/>
        <v>5.5</v>
      </c>
      <c r="I19" s="423"/>
      <c r="J19" s="318">
        <v>6</v>
      </c>
      <c r="K19" s="316">
        <v>7</v>
      </c>
      <c r="L19" s="313">
        <v>6</v>
      </c>
      <c r="M19" s="313">
        <f t="shared" si="6"/>
        <v>6.5</v>
      </c>
      <c r="N19" s="359">
        <f t="shared" si="7"/>
        <v>6.5</v>
      </c>
      <c r="O19" s="368">
        <v>7</v>
      </c>
      <c r="P19" s="313">
        <v>8</v>
      </c>
      <c r="Q19" s="313">
        <v>8</v>
      </c>
      <c r="R19" s="423" t="s">
        <v>397</v>
      </c>
      <c r="S19" s="359">
        <v>7</v>
      </c>
      <c r="T19" s="368">
        <v>7</v>
      </c>
      <c r="U19" s="313">
        <v>5</v>
      </c>
      <c r="V19" s="313">
        <f t="shared" si="8"/>
        <v>6</v>
      </c>
      <c r="W19" s="359">
        <f t="shared" si="9"/>
        <v>6</v>
      </c>
      <c r="X19" s="368">
        <v>5</v>
      </c>
      <c r="Y19" s="313">
        <v>5</v>
      </c>
      <c r="Z19" s="313">
        <f t="shared" si="10"/>
        <v>5</v>
      </c>
      <c r="AA19" s="313">
        <v>6</v>
      </c>
      <c r="AB19" s="318">
        <v>6</v>
      </c>
      <c r="AC19" s="316">
        <v>8</v>
      </c>
      <c r="AD19" s="313">
        <v>8</v>
      </c>
      <c r="AE19" s="313">
        <f t="shared" si="11"/>
        <v>8</v>
      </c>
      <c r="AF19" s="313">
        <v>7</v>
      </c>
      <c r="AG19" s="313">
        <v>8</v>
      </c>
      <c r="AH19" s="316">
        <v>4</v>
      </c>
      <c r="AI19" s="313">
        <v>5</v>
      </c>
      <c r="AJ19" s="313">
        <f t="shared" si="12"/>
        <v>4.5</v>
      </c>
      <c r="AK19" s="313">
        <v>4</v>
      </c>
      <c r="AL19" s="359">
        <v>5</v>
      </c>
      <c r="AM19" s="316">
        <v>8</v>
      </c>
      <c r="AN19" s="313">
        <v>8</v>
      </c>
      <c r="AO19" s="313">
        <f t="shared" si="13"/>
        <v>8</v>
      </c>
      <c r="AP19" s="318">
        <f t="shared" si="14"/>
        <v>8</v>
      </c>
      <c r="AQ19" s="316">
        <v>8</v>
      </c>
      <c r="AR19" s="313">
        <v>7</v>
      </c>
      <c r="AS19" s="313">
        <f t="shared" si="15"/>
        <v>7.5</v>
      </c>
      <c r="AT19" s="318">
        <f t="shared" si="16"/>
        <v>7.5</v>
      </c>
      <c r="AU19" s="316">
        <v>7</v>
      </c>
      <c r="AV19" s="313">
        <v>8</v>
      </c>
      <c r="AW19" s="313">
        <f t="shared" si="17"/>
        <v>7.5</v>
      </c>
      <c r="AX19" s="318">
        <f t="shared" si="18"/>
        <v>7.5</v>
      </c>
      <c r="AY19" s="316">
        <v>8</v>
      </c>
      <c r="AZ19" s="313">
        <v>8</v>
      </c>
      <c r="BA19" s="313">
        <f t="shared" si="19"/>
        <v>8</v>
      </c>
      <c r="BB19" s="318">
        <f t="shared" si="20"/>
        <v>8</v>
      </c>
      <c r="BC19" s="316">
        <v>10</v>
      </c>
      <c r="BD19" s="313">
        <v>10</v>
      </c>
      <c r="BE19" s="318">
        <f t="shared" si="32"/>
        <v>10</v>
      </c>
      <c r="BF19" s="316">
        <v>7</v>
      </c>
      <c r="BG19" s="313">
        <v>6</v>
      </c>
      <c r="BH19" s="313">
        <f t="shared" si="21"/>
        <v>6.5</v>
      </c>
      <c r="BI19" s="318">
        <f t="shared" si="22"/>
        <v>6.5</v>
      </c>
      <c r="BJ19" s="316">
        <v>6</v>
      </c>
      <c r="BK19" s="313">
        <v>8</v>
      </c>
      <c r="BL19" s="313">
        <f t="shared" si="23"/>
        <v>7</v>
      </c>
      <c r="BM19" s="359">
        <f t="shared" si="0"/>
        <v>7</v>
      </c>
      <c r="BN19" s="309">
        <v>8</v>
      </c>
      <c r="BO19" s="309">
        <f t="shared" si="24"/>
        <v>8</v>
      </c>
      <c r="BP19" s="309">
        <f t="shared" si="25"/>
        <v>8</v>
      </c>
      <c r="BQ19" s="316">
        <v>6</v>
      </c>
      <c r="BR19" s="313">
        <f t="shared" si="26"/>
        <v>6</v>
      </c>
      <c r="BS19" s="359">
        <v>6</v>
      </c>
      <c r="BT19" s="316">
        <v>6</v>
      </c>
      <c r="BU19" s="313">
        <f t="shared" si="27"/>
        <v>6</v>
      </c>
      <c r="BV19" s="313">
        <v>6</v>
      </c>
      <c r="BW19" s="359">
        <v>6</v>
      </c>
      <c r="BX19" s="368">
        <v>7</v>
      </c>
      <c r="BY19" s="313">
        <f t="shared" si="31"/>
        <v>7</v>
      </c>
      <c r="BZ19" s="313">
        <v>7</v>
      </c>
      <c r="CA19" s="359">
        <v>6</v>
      </c>
      <c r="CB19" s="316">
        <v>7</v>
      </c>
      <c r="CC19" s="318">
        <f t="shared" si="28"/>
        <v>7</v>
      </c>
      <c r="CD19" s="316">
        <v>7</v>
      </c>
      <c r="CE19" s="318">
        <f t="shared" si="29"/>
        <v>7</v>
      </c>
      <c r="CF19" s="316">
        <v>5</v>
      </c>
      <c r="CG19" s="359">
        <f t="shared" si="30"/>
        <v>5</v>
      </c>
      <c r="CH19" s="335">
        <f t="shared" si="1"/>
        <v>6.947368421052632</v>
      </c>
      <c r="CI19" s="268">
        <f t="shared" si="2"/>
        <v>6.888888888888889</v>
      </c>
      <c r="CJ19" s="307">
        <f t="shared" si="3"/>
        <v>6.886363636363637</v>
      </c>
      <c r="CK19" s="390">
        <f ca="1">SUM(COUNTIF(INDIRECT({"c19","F19","K19","O19","T19","X19","AC19","AH19","AM19","AQ19","AU19","AY19","BC19","BF19","BJ19","BN19","BQ19","BT19","BX19"}),"&gt;8"))</f>
        <v>1</v>
      </c>
      <c r="CL19" s="391">
        <f ca="1">SUM(COUNTIF(INDIRECT({"c19","F19","K19","O19","T19","X19","AC19","AH19","AM19","AQ19","AU19","AY19","BC19","BF19","BJ19","BN19","BQ19","BT19","BX19"}),"&gt;5"))-CK19</f>
        <v>15</v>
      </c>
      <c r="CM19" s="392">
        <f ca="1">SUM(COUNTIF(INDIRECT({"c19","F19","K19","O19","T19","X19","AC19","AH19","AM19","AQ19","AU19","AY19","BC19","BF19","BJ19","BN19","BQ19","BT19","BX19"}),"&gt;2"))-CL19-CK19</f>
        <v>3</v>
      </c>
      <c r="CN19" s="393">
        <f ca="1">SUM(COUNTIF(INDIRECT({"c19","F19","K19","O19","T19","X19","AC19","AH19","AM19","AQ19","AU19","AY19","BC19","BF19","BJ19","BN19","BQ19","BT19","BX19"}),"&lt;3"))-CO19</f>
        <v>0</v>
      </c>
      <c r="CO19" s="417">
        <f ca="1">SUM(COUNTIF(INDIRECT({"c19","F19","K19","O19","T19","X19","AC19","AH19","AM19","AQ19","AU19","AY19","BC19","BF19","BJ19","BN19","BQ19","BT19","BX19"}),"=0"))</f>
        <v>0</v>
      </c>
      <c r="CP19" s="390">
        <f ca="1">SUM(COUNTIF(INDIRECT({"D19","G19","L19","P19","U19","Y19","AD19","AI19","AN19","AR19","AV19","AZ19","BD19","BG19","BK19","CB19","CD19","CF19"}),"&gt;8"))</f>
        <v>1</v>
      </c>
      <c r="CQ19" s="391">
        <f ca="1">SUM(COUNTIF(INDIRECT({"D19","G19","L19","P19","U19","Y19","AD19","AI19","AN19","AR19","AV19","AZ19","BD19","BG19","BK19","CB19","CD19","CF19"}),"&gt;5"))-CP19</f>
        <v>13</v>
      </c>
      <c r="CR19" s="392">
        <f ca="1">SUM(COUNTIF(INDIRECT({"D19","G19","L19","P19","U19","Y19","AD19","AI19","AN19","AR19","AV19","AZ19","BD19","BG19","BK19","CB19","CD19","CF19"}),"&gt;2"))-CQ19-CP19</f>
        <v>4</v>
      </c>
      <c r="CS19" s="393">
        <f ca="1">SUM(COUNTIF(INDIRECT({"D19","G19","L19","P19","U19","Y19","AD19","AI19","AN19","AR19","AV19","AZ19","BD19","BG19","BK19","CB19","CD19","CF19"}),"&lt;3"))-CT19</f>
        <v>0</v>
      </c>
      <c r="CT19" s="417">
        <f ca="1">SUM(COUNTIF(INDIRECT({"D19","G19","L19","P19","U19","Y19","AD19","AI19","AN19","AR19","AV19","AZ19","BD19","BG19","BK19","CB19","CD19","CF19"}),"=0"))</f>
        <v>0</v>
      </c>
      <c r="CU19" s="390">
        <f ca="1">SUM(COUNTIF(INDIRECT({"E19","H19","M19","Q19","V19","Z19","AE19","AJ19","AO19","AS19","AW19","BA19","BE19","BH19","BL19","BO19","BR19","BU19","BY19","CC19","CE19","CG19"}),"&gt;8"))</f>
        <v>1</v>
      </c>
      <c r="CV19" s="391">
        <f ca="1">SUM(COUNTIF(INDIRECT({"E19","H19","M19","Q19","V19","Z19","AE19","AJ19","AO19","AS19","AW19","BA19","BE19","BH19","BL19","BO19","BR19","BU19","BY19","CC19","CE19","CG19"}),"&gt;5"))-CU19</f>
        <v>18</v>
      </c>
      <c r="CW19" s="392">
        <f ca="1">SUM(COUNTIF(INDIRECT({"E19","H19","M19","Q19","V19","Z19","AE19","AJ19","AO19","AS19","AW19","BA19","BE19","BH19","BL19","BO19","BR19","BU19","BY19","CC19","CE19","CG19"}),"&gt;2"))-CV19-CU19</f>
        <v>3</v>
      </c>
      <c r="CX19" s="393">
        <f ca="1">SUM(COUNTIF(INDIRECT({"E19","H19","M19","Q19","V19","Z19","AE19","AJ19","AO19","AS19","AW19","BA19","BE19","BH19","BL19","BO19","BR19","BU19","BY19","CC19","CE19","CG19"}),"&lt;3"))-CY19</f>
        <v>0</v>
      </c>
      <c r="CY19" s="438">
        <f ca="1">SUM(COUNTIF(INDIRECT({"E19","H19","M19","Q19","V19","Z19","AE19","AJ19","AO19","AS19","AW19","BA19","BE19","BH19","BL19","BO19","BR19","BU19","BY19","CC19","CE19","CG19"}),"=0"))</f>
        <v>0</v>
      </c>
      <c r="CZ19" s="5">
        <v>8</v>
      </c>
      <c r="DA19" s="5">
        <v>7</v>
      </c>
    </row>
    <row r="20" spans="1:105" ht="12.75">
      <c r="A20" s="2">
        <v>17</v>
      </c>
      <c r="B20" s="204" t="s">
        <v>170</v>
      </c>
      <c r="C20" s="316">
        <v>8</v>
      </c>
      <c r="D20" s="313">
        <v>5</v>
      </c>
      <c r="E20" s="313">
        <f t="shared" si="4"/>
        <v>6.5</v>
      </c>
      <c r="F20" s="368">
        <v>5</v>
      </c>
      <c r="G20" s="313">
        <v>5</v>
      </c>
      <c r="H20" s="313">
        <f t="shared" si="5"/>
        <v>5</v>
      </c>
      <c r="I20" s="423"/>
      <c r="J20" s="318">
        <v>5</v>
      </c>
      <c r="K20" s="316">
        <v>6</v>
      </c>
      <c r="L20" s="313">
        <v>6</v>
      </c>
      <c r="M20" s="313">
        <f t="shared" si="6"/>
        <v>6</v>
      </c>
      <c r="N20" s="359">
        <f t="shared" si="7"/>
        <v>6</v>
      </c>
      <c r="O20" s="368">
        <v>5</v>
      </c>
      <c r="P20" s="313">
        <v>4</v>
      </c>
      <c r="Q20" s="313">
        <v>5</v>
      </c>
      <c r="R20" s="423" t="s">
        <v>393</v>
      </c>
      <c r="S20" s="359">
        <v>5</v>
      </c>
      <c r="T20" s="368">
        <v>6</v>
      </c>
      <c r="U20" s="313">
        <v>6</v>
      </c>
      <c r="V20" s="313">
        <f t="shared" si="8"/>
        <v>6</v>
      </c>
      <c r="W20" s="359">
        <f t="shared" si="9"/>
        <v>6</v>
      </c>
      <c r="X20" s="368">
        <v>4</v>
      </c>
      <c r="Y20" s="313">
        <v>5</v>
      </c>
      <c r="Z20" s="313">
        <f t="shared" si="10"/>
        <v>4.5</v>
      </c>
      <c r="AA20" s="313">
        <v>5</v>
      </c>
      <c r="AB20" s="318">
        <v>5</v>
      </c>
      <c r="AC20" s="316">
        <v>6</v>
      </c>
      <c r="AD20" s="313">
        <v>5</v>
      </c>
      <c r="AE20" s="313">
        <v>5</v>
      </c>
      <c r="AF20" s="313">
        <v>5</v>
      </c>
      <c r="AG20" s="313">
        <v>6</v>
      </c>
      <c r="AH20" s="316">
        <v>5</v>
      </c>
      <c r="AI20" s="313">
        <v>4</v>
      </c>
      <c r="AJ20" s="313">
        <f t="shared" si="12"/>
        <v>4.5</v>
      </c>
      <c r="AK20" s="313">
        <v>4</v>
      </c>
      <c r="AL20" s="359">
        <v>5</v>
      </c>
      <c r="AM20" s="316">
        <v>7</v>
      </c>
      <c r="AN20" s="313">
        <v>7</v>
      </c>
      <c r="AO20" s="313">
        <f t="shared" si="13"/>
        <v>7</v>
      </c>
      <c r="AP20" s="318">
        <f t="shared" si="14"/>
        <v>7</v>
      </c>
      <c r="AQ20" s="316">
        <v>8</v>
      </c>
      <c r="AR20" s="313">
        <v>7</v>
      </c>
      <c r="AS20" s="313">
        <f t="shared" si="15"/>
        <v>7.5</v>
      </c>
      <c r="AT20" s="318">
        <f t="shared" si="16"/>
        <v>7.5</v>
      </c>
      <c r="AU20" s="316">
        <v>6</v>
      </c>
      <c r="AV20" s="313">
        <v>6</v>
      </c>
      <c r="AW20" s="313">
        <f t="shared" si="17"/>
        <v>6</v>
      </c>
      <c r="AX20" s="318">
        <f t="shared" si="18"/>
        <v>6</v>
      </c>
      <c r="AY20" s="316">
        <v>7</v>
      </c>
      <c r="AZ20" s="313">
        <v>7</v>
      </c>
      <c r="BA20" s="313">
        <f t="shared" si="19"/>
        <v>7</v>
      </c>
      <c r="BB20" s="318">
        <f t="shared" si="20"/>
        <v>7</v>
      </c>
      <c r="BC20" s="316">
        <v>9</v>
      </c>
      <c r="BD20" s="313">
        <v>9</v>
      </c>
      <c r="BE20" s="318">
        <f t="shared" si="32"/>
        <v>9</v>
      </c>
      <c r="BF20" s="316">
        <v>5</v>
      </c>
      <c r="BG20" s="313">
        <v>6</v>
      </c>
      <c r="BH20" s="313">
        <f t="shared" si="21"/>
        <v>5.5</v>
      </c>
      <c r="BI20" s="318">
        <f t="shared" si="22"/>
        <v>5.5</v>
      </c>
      <c r="BJ20" s="316">
        <v>6</v>
      </c>
      <c r="BK20" s="313">
        <v>8</v>
      </c>
      <c r="BL20" s="313">
        <f t="shared" si="23"/>
        <v>7</v>
      </c>
      <c r="BM20" s="359">
        <f t="shared" si="0"/>
        <v>7</v>
      </c>
      <c r="BN20" s="309">
        <v>7</v>
      </c>
      <c r="BO20" s="309">
        <f t="shared" si="24"/>
        <v>7</v>
      </c>
      <c r="BP20" s="309">
        <f t="shared" si="25"/>
        <v>7</v>
      </c>
      <c r="BQ20" s="316">
        <v>6</v>
      </c>
      <c r="BR20" s="313">
        <f t="shared" si="26"/>
        <v>6</v>
      </c>
      <c r="BS20" s="359">
        <v>6</v>
      </c>
      <c r="BT20" s="316">
        <v>6</v>
      </c>
      <c r="BU20" s="313">
        <f t="shared" si="27"/>
        <v>6</v>
      </c>
      <c r="BV20" s="313">
        <v>5</v>
      </c>
      <c r="BW20" s="359">
        <v>6</v>
      </c>
      <c r="BX20" s="368">
        <v>6</v>
      </c>
      <c r="BY20" s="313">
        <f t="shared" si="31"/>
        <v>6</v>
      </c>
      <c r="BZ20" s="313">
        <v>6</v>
      </c>
      <c r="CA20" s="359">
        <v>6</v>
      </c>
      <c r="CB20" s="316">
        <v>5</v>
      </c>
      <c r="CC20" s="318">
        <f t="shared" si="28"/>
        <v>5</v>
      </c>
      <c r="CD20" s="316">
        <v>4</v>
      </c>
      <c r="CE20" s="318">
        <f t="shared" si="29"/>
        <v>4</v>
      </c>
      <c r="CF20" s="316">
        <v>5</v>
      </c>
      <c r="CG20" s="359">
        <f t="shared" si="30"/>
        <v>5</v>
      </c>
      <c r="CH20" s="335">
        <f t="shared" si="1"/>
        <v>6.2105263157894735</v>
      </c>
      <c r="CI20" s="268">
        <f t="shared" si="2"/>
        <v>5.777777777777778</v>
      </c>
      <c r="CJ20" s="307">
        <f t="shared" si="3"/>
        <v>5.931818181818182</v>
      </c>
      <c r="CK20" s="390">
        <f ca="1">SUM(COUNTIF(INDIRECT({"c20","F20","K20","O20","T20","X20","AC20","AH20","AM20","AQ20","AU20","AY20","BC20","BF20","BJ20","BN20","BQ20","BT20","BX20"}),"&gt;8"))</f>
        <v>1</v>
      </c>
      <c r="CL20" s="391">
        <f ca="1">SUM(COUNTIF(INDIRECT({"c20","F20","K20","O20","T20","X20","AC20","AH20","AM20","AQ20","AU20","AY20","BC20","BF20","BJ20","BN20","BQ20","BT20","BX20"}),"&gt;5"))-CK20</f>
        <v>13</v>
      </c>
      <c r="CM20" s="392">
        <f ca="1">SUM(COUNTIF(INDIRECT({"c20","F20","K20","O20","T20","X20","AC20","AH20","AM20","AQ20","AU20","AY20","BC20","BF20","BJ20","BN20","BQ20","BT20","BX20"}),"&gt;2"))-CL20-CK20</f>
        <v>5</v>
      </c>
      <c r="CN20" s="393">
        <f ca="1">SUM(COUNTIF(INDIRECT({"c20","F20","K20","O20","T20","X20","AC20","AH20","AM20","AQ20","AU20","AY20","BC20","BF20","BJ20","BN20","BQ20","BT20","BX20"}),"&lt;3"))-CO20</f>
        <v>0</v>
      </c>
      <c r="CO20" s="417">
        <f ca="1">SUM(COUNTIF(INDIRECT({"c20","F20","K20","O20","T20","X20","AC20","AH20","AM20","AQ20","AU20","AY20","BC20","BF20","BJ20","BN20","BQ20","BT20","BX20"}),"=0"))</f>
        <v>0</v>
      </c>
      <c r="CP20" s="390">
        <f ca="1">SUM(COUNTIF(INDIRECT({"D20","G20","L20","P20","U20","Y20","AD20","AI20","AN20","AR20","AV20","AZ20","BD20","BG20","BK20","CB20","CD20","CF20"}),"&gt;8"))</f>
        <v>1</v>
      </c>
      <c r="CQ20" s="391">
        <f ca="1">SUM(COUNTIF(INDIRECT({"D20","G20","L20","P20","U20","Y20","AD20","AI20","AN20","AR20","AV20","AZ20","BD20","BG20","BK20","CB20","CD20","CF20"}),"&gt;5"))-CP20</f>
        <v>8</v>
      </c>
      <c r="CR20" s="392">
        <f ca="1">SUM(COUNTIF(INDIRECT({"D20","G20","L20","P20","U20","Y20","AD20","AI20","AN20","AR20","AV20","AZ20","BD20","BG20","BK20","CB20","CD20","CF20"}),"&gt;2"))-CQ20-CP20</f>
        <v>9</v>
      </c>
      <c r="CS20" s="393">
        <f ca="1">SUM(COUNTIF(INDIRECT({"D20","G20","L20","P20","U20","Y20","AD20","AI20","AN20","AR20","AV20","AZ20","BD20","BG20","BK20","CB20","CD20","CF20"}),"&lt;3"))-CT20</f>
        <v>0</v>
      </c>
      <c r="CT20" s="417">
        <f ca="1">SUM(COUNTIF(INDIRECT({"D20","G20","L20","P20","U20","Y20","AD20","AI20","AN20","AR20","AV20","AZ20","BD20","BG20","BK20","CB20","CD20","CF20"}),"=0"))</f>
        <v>0</v>
      </c>
      <c r="CU20" s="390">
        <f ca="1">SUM(COUNTIF(INDIRECT({"E20","H20","M20","Q20","V20","Z20","AE20","AJ20","AO20","AS20","AW20","BA20","BE20","BH20","BL20","BO20","BR20","BU20","BY20","CC20","CE20","CG20"}),"&gt;8"))</f>
        <v>1</v>
      </c>
      <c r="CV20" s="391">
        <f ca="1">SUM(COUNTIF(INDIRECT({"E20","H20","M20","Q20","V20","Z20","AE20","AJ20","AO20","AS20","AW20","BA20","BE20","BH20","BL20","BO20","BR20","BU20","BY20","CC20","CE20","CG20"}),"&gt;5"))-CU20</f>
        <v>13</v>
      </c>
      <c r="CW20" s="392">
        <f ca="1">SUM(COUNTIF(INDIRECT({"E20","H20","M20","Q20","V20","Z20","AE20","AJ20","AO20","AS20","AW20","BA20","BE20","BH20","BL20","BO20","BR20","BU20","BY20","CC20","CE20","CG20"}),"&gt;2"))-CV20-CU20</f>
        <v>8</v>
      </c>
      <c r="CX20" s="393">
        <f ca="1">SUM(COUNTIF(INDIRECT({"E20","H20","M20","Q20","V20","Z20","AE20","AJ20","AO20","AS20","AW20","BA20","BE20","BH20","BL20","BO20","BR20","BU20","BY20","CC20","CE20","CG20"}),"&lt;3"))-CY20</f>
        <v>0</v>
      </c>
      <c r="CY20" s="438">
        <f ca="1">SUM(COUNTIF(INDIRECT({"E20","H20","M20","Q20","V20","Z20","AE20","AJ20","AO20","AS20","AW20","BA20","BE20","BH20","BL20","BO20","BR20","BU20","BY20","CC20","CE20","CG20"}),"=0"))</f>
        <v>0</v>
      </c>
      <c r="CZ20" s="5">
        <v>8</v>
      </c>
      <c r="DA20" s="5">
        <v>5</v>
      </c>
    </row>
    <row r="21" spans="1:105" ht="12.75">
      <c r="A21" s="2">
        <v>18</v>
      </c>
      <c r="B21" s="204" t="s">
        <v>172</v>
      </c>
      <c r="C21" s="316">
        <v>7</v>
      </c>
      <c r="D21" s="313">
        <v>5</v>
      </c>
      <c r="E21" s="313">
        <f t="shared" si="4"/>
        <v>6</v>
      </c>
      <c r="F21" s="368">
        <v>5</v>
      </c>
      <c r="G21" s="313">
        <v>6</v>
      </c>
      <c r="H21" s="313">
        <f t="shared" si="5"/>
        <v>5.5</v>
      </c>
      <c r="I21" s="423" t="s">
        <v>404</v>
      </c>
      <c r="J21" s="318">
        <v>7</v>
      </c>
      <c r="K21" s="316">
        <v>6</v>
      </c>
      <c r="L21" s="313">
        <v>7</v>
      </c>
      <c r="M21" s="313">
        <f t="shared" si="6"/>
        <v>6.5</v>
      </c>
      <c r="N21" s="359">
        <f t="shared" si="7"/>
        <v>6.5</v>
      </c>
      <c r="O21" s="368">
        <v>5</v>
      </c>
      <c r="P21" s="313">
        <v>5</v>
      </c>
      <c r="Q21" s="313">
        <v>5</v>
      </c>
      <c r="R21" s="423"/>
      <c r="S21" s="359">
        <v>5</v>
      </c>
      <c r="T21" s="368">
        <v>6</v>
      </c>
      <c r="U21" s="313">
        <v>7</v>
      </c>
      <c r="V21" s="313">
        <f t="shared" si="8"/>
        <v>6.5</v>
      </c>
      <c r="W21" s="359">
        <f t="shared" si="9"/>
        <v>6.5</v>
      </c>
      <c r="X21" s="368">
        <v>6</v>
      </c>
      <c r="Y21" s="313">
        <v>7</v>
      </c>
      <c r="Z21" s="313">
        <f t="shared" si="10"/>
        <v>6.5</v>
      </c>
      <c r="AA21" s="313">
        <v>7</v>
      </c>
      <c r="AB21" s="318">
        <v>7</v>
      </c>
      <c r="AC21" s="316">
        <v>6</v>
      </c>
      <c r="AD21" s="313">
        <v>6</v>
      </c>
      <c r="AE21" s="313">
        <f t="shared" si="11"/>
        <v>6</v>
      </c>
      <c r="AF21" s="313">
        <v>6</v>
      </c>
      <c r="AG21" s="313">
        <v>6</v>
      </c>
      <c r="AH21" s="316">
        <v>3</v>
      </c>
      <c r="AI21" s="313">
        <v>4</v>
      </c>
      <c r="AJ21" s="313">
        <f t="shared" si="12"/>
        <v>3.5</v>
      </c>
      <c r="AK21" s="313">
        <v>4</v>
      </c>
      <c r="AL21" s="359">
        <v>4</v>
      </c>
      <c r="AM21" s="316">
        <v>8</v>
      </c>
      <c r="AN21" s="313">
        <v>7</v>
      </c>
      <c r="AO21" s="313">
        <f t="shared" si="13"/>
        <v>7.5</v>
      </c>
      <c r="AP21" s="318">
        <f t="shared" si="14"/>
        <v>7.5</v>
      </c>
      <c r="AQ21" s="316">
        <v>9</v>
      </c>
      <c r="AR21" s="313">
        <v>6</v>
      </c>
      <c r="AS21" s="313">
        <f t="shared" si="15"/>
        <v>7.5</v>
      </c>
      <c r="AT21" s="318">
        <f t="shared" si="16"/>
        <v>7.5</v>
      </c>
      <c r="AU21" s="316">
        <v>5</v>
      </c>
      <c r="AV21" s="313">
        <v>4</v>
      </c>
      <c r="AW21" s="313">
        <f t="shared" si="17"/>
        <v>4.5</v>
      </c>
      <c r="AX21" s="318">
        <f t="shared" si="18"/>
        <v>4.5</v>
      </c>
      <c r="AY21" s="316">
        <v>5</v>
      </c>
      <c r="AZ21" s="313">
        <v>5</v>
      </c>
      <c r="BA21" s="313">
        <f t="shared" si="19"/>
        <v>5</v>
      </c>
      <c r="BB21" s="318">
        <f t="shared" si="20"/>
        <v>5</v>
      </c>
      <c r="BC21" s="316">
        <v>1</v>
      </c>
      <c r="BD21" s="313">
        <v>1</v>
      </c>
      <c r="BE21" s="318">
        <f t="shared" si="32"/>
        <v>1</v>
      </c>
      <c r="BF21" s="316">
        <v>8</v>
      </c>
      <c r="BG21" s="313">
        <v>6</v>
      </c>
      <c r="BH21" s="313">
        <f t="shared" si="21"/>
        <v>7</v>
      </c>
      <c r="BI21" s="318">
        <f t="shared" si="22"/>
        <v>7</v>
      </c>
      <c r="BJ21" s="316">
        <v>5</v>
      </c>
      <c r="BK21" s="313">
        <v>6</v>
      </c>
      <c r="BL21" s="313">
        <f t="shared" si="23"/>
        <v>5.5</v>
      </c>
      <c r="BM21" s="359">
        <f t="shared" si="0"/>
        <v>5.5</v>
      </c>
      <c r="BN21" s="309">
        <v>9</v>
      </c>
      <c r="BO21" s="309">
        <f t="shared" si="24"/>
        <v>9</v>
      </c>
      <c r="BP21" s="309">
        <f t="shared" si="25"/>
        <v>9</v>
      </c>
      <c r="BQ21" s="316">
        <v>6</v>
      </c>
      <c r="BR21" s="313">
        <f t="shared" si="26"/>
        <v>6</v>
      </c>
      <c r="BS21" s="359">
        <v>6</v>
      </c>
      <c r="BT21" s="316">
        <v>6</v>
      </c>
      <c r="BU21" s="313">
        <f t="shared" si="27"/>
        <v>6</v>
      </c>
      <c r="BV21" s="313">
        <v>6</v>
      </c>
      <c r="BW21" s="359">
        <v>6</v>
      </c>
      <c r="BX21" s="368">
        <v>6</v>
      </c>
      <c r="BY21" s="313">
        <f t="shared" si="31"/>
        <v>6</v>
      </c>
      <c r="BZ21" s="313">
        <v>6</v>
      </c>
      <c r="CA21" s="359">
        <v>6</v>
      </c>
      <c r="CB21" s="316">
        <v>6</v>
      </c>
      <c r="CC21" s="318">
        <f t="shared" si="28"/>
        <v>6</v>
      </c>
      <c r="CD21" s="316">
        <v>6</v>
      </c>
      <c r="CE21" s="318">
        <f t="shared" si="29"/>
        <v>6</v>
      </c>
      <c r="CF21" s="316">
        <v>5</v>
      </c>
      <c r="CG21" s="359">
        <f t="shared" si="30"/>
        <v>5</v>
      </c>
      <c r="CH21" s="335">
        <f t="shared" si="1"/>
        <v>5.894736842105263</v>
      </c>
      <c r="CI21" s="268">
        <f t="shared" si="2"/>
        <v>5.5</v>
      </c>
      <c r="CJ21" s="307">
        <f t="shared" si="3"/>
        <v>5.795454545454546</v>
      </c>
      <c r="CK21" s="390">
        <f ca="1">SUM(COUNTIF(INDIRECT({"c21","F21","K21","O21","T21","X21","AC21","AH21","AM21","AQ21","AU21","AY21","BC21","BF21","BJ21","BN21","BQ21","BT21","BX21"}),"&gt;8"))</f>
        <v>2</v>
      </c>
      <c r="CL21" s="391">
        <f ca="1">SUM(COUNTIF(INDIRECT({"c21","F21","K21","O21","T21","X21","AC21","AH21","AM21","AQ21","AU21","AY21","BC21","BF21","BJ21","BN21","BQ21","BT21","BX21"}),"&gt;5"))-CK21</f>
        <v>10</v>
      </c>
      <c r="CM21" s="392">
        <f ca="1">SUM(COUNTIF(INDIRECT({"c21","F21","K21","O21","T21","X21","AC21","AH21","AM21","AQ21","AU21","AY21","BC21","BF21","BJ21","BN21","BQ21","BT21","BX21"}),"&gt;2"))-CL21-CK21</f>
        <v>6</v>
      </c>
      <c r="CN21" s="393">
        <f ca="1">SUM(COUNTIF(INDIRECT({"c21","F21","K21","O21","T21","X21","AC21","AH21","AM21","AQ21","AU21","AY21","BC21","BF21","BJ21","BN21","BQ21","BT21","BX21"}),"&lt;3"))-CO21</f>
        <v>1</v>
      </c>
      <c r="CO21" s="417">
        <f ca="1">SUM(COUNTIF(INDIRECT({"c21","F21","K21","O21","T21","X21","AC21","AH21","AM21","AQ21","AU21","AY21","BC21","BF21","BJ21","BN21","BQ21","BT21","BX21"}),"=0"))</f>
        <v>0</v>
      </c>
      <c r="CP21" s="390">
        <f ca="1">SUM(COUNTIF(INDIRECT({"D21","G21","L21","P21","U21","Y21","AD21","AI21","AN21","AR21","AV21","AZ21","BD21","BG21","BK21","CB21","CD21","CF21"}),"&gt;8"))</f>
        <v>0</v>
      </c>
      <c r="CQ21" s="391">
        <f ca="1">SUM(COUNTIF(INDIRECT({"D21","G21","L21","P21","U21","Y21","AD21","AI21","AN21","AR21","AV21","AZ21","BD21","BG21","BK21","CB21","CD21","CF21"}),"&gt;5"))-CP21</f>
        <v>11</v>
      </c>
      <c r="CR21" s="392">
        <f ca="1">SUM(COUNTIF(INDIRECT({"D21","G21","L21","P21","U21","Y21","AD21","AI21","AN21","AR21","AV21","AZ21","BD21","BG21","BK21","CB21","CD21","CF21"}),"&gt;2"))-CQ21-CP21</f>
        <v>6</v>
      </c>
      <c r="CS21" s="393">
        <f ca="1">SUM(COUNTIF(INDIRECT({"D21","G21","L21","P21","U21","Y21","AD21","AI21","AN21","AR21","AV21","AZ21","BD21","BG21","BK21","CB21","CD21","CF21"}),"&lt;3"))-CT21</f>
        <v>1</v>
      </c>
      <c r="CT21" s="417">
        <f ca="1">SUM(COUNTIF(INDIRECT({"D21","G21","L21","P21","U21","Y21","AD21","AI21","AN21","AR21","AV21","AZ21","BD21","BG21","BK21","CB21","CD21","CF21"}),"=0"))</f>
        <v>0</v>
      </c>
      <c r="CU21" s="390">
        <f ca="1">SUM(COUNTIF(INDIRECT({"E21","H21","M21","Q21","V21","Z21","AE21","AJ21","AO21","AS21","AW21","BA21","BE21","BH21","BL21","BO21","BR21","BU21","BY21","CC21","CE21","CG21"}),"&gt;8"))</f>
        <v>1</v>
      </c>
      <c r="CV21" s="391">
        <f ca="1">SUM(COUNTIF(INDIRECT({"E21","H21","M21","Q21","V21","Z21","AE21","AJ21","AO21","AS21","AW21","BA21","BE21","BH21","BL21","BO21","BR21","BU21","BY21","CC21","CE21","CG21"}),"&gt;5"))-CU21</f>
        <v>15</v>
      </c>
      <c r="CW21" s="392">
        <f ca="1">SUM(COUNTIF(INDIRECT({"E21","H21","M21","Q21","V21","Z21","AE21","AJ21","AO21","AS21","AW21","BA21","BE21","BH21","BL21","BO21","BR21","BU21","BY21","CC21","CE21","CG21"}),"&gt;2"))-CV21-CU21</f>
        <v>5</v>
      </c>
      <c r="CX21" s="393">
        <f ca="1">SUM(COUNTIF(INDIRECT({"E21","H21","M21","Q21","V21","Z21","AE21","AJ21","AO21","AS21","AW21","BA21","BE21","BH21","BL21","BO21","BR21","BU21","BY21","CC21","CE21","CG21"}),"&lt;3"))-CY21</f>
        <v>1</v>
      </c>
      <c r="CY21" s="438">
        <f ca="1">SUM(COUNTIF(INDIRECT({"E21","H21","M21","Q21","V21","Z21","AE21","AJ21","AO21","AS21","AW21","BA21","BE21","BH21","BL21","BO21","BR21","BU21","BY21","CC21","CE21","CG21"}),"=0"))</f>
        <v>0</v>
      </c>
      <c r="CZ21" s="5">
        <v>7</v>
      </c>
      <c r="DA21" s="5">
        <v>5</v>
      </c>
    </row>
    <row r="22" spans="1:105" ht="12.75">
      <c r="A22" s="2">
        <v>19</v>
      </c>
      <c r="B22" s="204" t="s">
        <v>173</v>
      </c>
      <c r="C22" s="316">
        <v>8</v>
      </c>
      <c r="D22" s="313">
        <v>7</v>
      </c>
      <c r="E22" s="313">
        <f t="shared" si="4"/>
        <v>7.5</v>
      </c>
      <c r="F22" s="368">
        <v>5</v>
      </c>
      <c r="G22" s="313">
        <v>6</v>
      </c>
      <c r="H22" s="313">
        <f t="shared" si="5"/>
        <v>5.5</v>
      </c>
      <c r="I22" s="423" t="s">
        <v>392</v>
      </c>
      <c r="J22" s="318">
        <v>6</v>
      </c>
      <c r="K22" s="316">
        <v>4</v>
      </c>
      <c r="L22" s="313">
        <v>7</v>
      </c>
      <c r="M22" s="313">
        <f t="shared" si="6"/>
        <v>5.5</v>
      </c>
      <c r="N22" s="359">
        <f t="shared" si="7"/>
        <v>5.5</v>
      </c>
      <c r="O22" s="368">
        <v>4</v>
      </c>
      <c r="P22" s="313">
        <v>4</v>
      </c>
      <c r="Q22" s="313">
        <v>4</v>
      </c>
      <c r="R22" s="423"/>
      <c r="S22" s="359">
        <v>4</v>
      </c>
      <c r="T22" s="368">
        <v>7</v>
      </c>
      <c r="U22" s="313">
        <v>6</v>
      </c>
      <c r="V22" s="313">
        <f t="shared" si="8"/>
        <v>6.5</v>
      </c>
      <c r="W22" s="359">
        <f t="shared" si="9"/>
        <v>6.5</v>
      </c>
      <c r="X22" s="368">
        <v>4</v>
      </c>
      <c r="Y22" s="313">
        <v>4</v>
      </c>
      <c r="Z22" s="313">
        <f t="shared" si="10"/>
        <v>4</v>
      </c>
      <c r="AA22" s="313">
        <v>5</v>
      </c>
      <c r="AB22" s="318">
        <v>5</v>
      </c>
      <c r="AC22" s="316">
        <v>5</v>
      </c>
      <c r="AD22" s="313">
        <v>5</v>
      </c>
      <c r="AE22" s="313">
        <f t="shared" si="11"/>
        <v>5</v>
      </c>
      <c r="AF22" s="313">
        <v>4</v>
      </c>
      <c r="AG22" s="313">
        <v>5</v>
      </c>
      <c r="AH22" s="316">
        <v>5</v>
      </c>
      <c r="AI22" s="313">
        <v>4</v>
      </c>
      <c r="AJ22" s="313">
        <f t="shared" si="12"/>
        <v>4.5</v>
      </c>
      <c r="AK22" s="313">
        <v>4</v>
      </c>
      <c r="AL22" s="359">
        <v>5</v>
      </c>
      <c r="AM22" s="316">
        <v>5</v>
      </c>
      <c r="AN22" s="313">
        <v>5</v>
      </c>
      <c r="AO22" s="313">
        <f t="shared" si="13"/>
        <v>5</v>
      </c>
      <c r="AP22" s="318">
        <f t="shared" si="14"/>
        <v>5</v>
      </c>
      <c r="AQ22" s="316">
        <v>7</v>
      </c>
      <c r="AR22" s="313">
        <v>7</v>
      </c>
      <c r="AS22" s="313">
        <f t="shared" si="15"/>
        <v>7</v>
      </c>
      <c r="AT22" s="318">
        <f t="shared" si="16"/>
        <v>7</v>
      </c>
      <c r="AU22" s="316">
        <v>5</v>
      </c>
      <c r="AV22" s="313">
        <v>6</v>
      </c>
      <c r="AW22" s="313">
        <f t="shared" si="17"/>
        <v>5.5</v>
      </c>
      <c r="AX22" s="318">
        <f t="shared" si="18"/>
        <v>5.5</v>
      </c>
      <c r="AY22" s="316">
        <v>6</v>
      </c>
      <c r="AZ22" s="313">
        <v>7</v>
      </c>
      <c r="BA22" s="313">
        <f t="shared" si="19"/>
        <v>6.5</v>
      </c>
      <c r="BB22" s="318">
        <f t="shared" si="20"/>
        <v>6.5</v>
      </c>
      <c r="BC22" s="316">
        <v>4</v>
      </c>
      <c r="BD22" s="313">
        <v>10</v>
      </c>
      <c r="BE22" s="318">
        <f t="shared" si="32"/>
        <v>7</v>
      </c>
      <c r="BF22" s="316">
        <v>7</v>
      </c>
      <c r="BG22" s="313">
        <v>7</v>
      </c>
      <c r="BH22" s="313">
        <f t="shared" si="21"/>
        <v>7</v>
      </c>
      <c r="BI22" s="318">
        <f t="shared" si="22"/>
        <v>7</v>
      </c>
      <c r="BJ22" s="316">
        <v>6</v>
      </c>
      <c r="BK22" s="313">
        <v>7</v>
      </c>
      <c r="BL22" s="313">
        <f t="shared" si="23"/>
        <v>6.5</v>
      </c>
      <c r="BM22" s="359">
        <f t="shared" si="0"/>
        <v>6.5</v>
      </c>
      <c r="BN22" s="309">
        <v>6</v>
      </c>
      <c r="BO22" s="309">
        <f t="shared" si="24"/>
        <v>6</v>
      </c>
      <c r="BP22" s="309">
        <f t="shared" si="25"/>
        <v>6</v>
      </c>
      <c r="BQ22" s="316">
        <v>7</v>
      </c>
      <c r="BR22" s="313">
        <f t="shared" si="26"/>
        <v>7</v>
      </c>
      <c r="BS22" s="359">
        <v>7</v>
      </c>
      <c r="BT22" s="316">
        <v>6</v>
      </c>
      <c r="BU22" s="313">
        <f t="shared" si="27"/>
        <v>6</v>
      </c>
      <c r="BV22" s="313">
        <v>6</v>
      </c>
      <c r="BW22" s="359">
        <v>6</v>
      </c>
      <c r="BX22" s="368">
        <v>5</v>
      </c>
      <c r="BY22" s="313">
        <f t="shared" si="31"/>
        <v>5</v>
      </c>
      <c r="BZ22" s="313">
        <v>6</v>
      </c>
      <c r="CA22" s="359">
        <v>6</v>
      </c>
      <c r="CB22" s="316">
        <v>6</v>
      </c>
      <c r="CC22" s="318">
        <f t="shared" si="28"/>
        <v>6</v>
      </c>
      <c r="CD22" s="316">
        <v>5</v>
      </c>
      <c r="CE22" s="318">
        <f t="shared" si="29"/>
        <v>5</v>
      </c>
      <c r="CF22" s="316">
        <v>5</v>
      </c>
      <c r="CG22" s="359">
        <f t="shared" si="30"/>
        <v>5</v>
      </c>
      <c r="CH22" s="335">
        <f t="shared" si="1"/>
        <v>5.578947368421052</v>
      </c>
      <c r="CI22" s="268">
        <f t="shared" si="2"/>
        <v>6</v>
      </c>
      <c r="CJ22" s="307">
        <f t="shared" si="3"/>
        <v>5.7727272727272725</v>
      </c>
      <c r="CK22" s="390">
        <f ca="1">SUM(COUNTIF(INDIRECT({"c22","F22","K22","O22","T22","X22","AC22","AH22","AM22","AQ22","AU22","AY22","BC22","BF22","BJ22","BN22","BQ22","BT22","BX22"}),"&gt;8"))</f>
        <v>0</v>
      </c>
      <c r="CL22" s="391">
        <f ca="1">SUM(COUNTIF(INDIRECT({"c22","F22","K22","O22","T22","X22","AC22","AH22","AM22","AQ22","AU22","AY22","BC22","BF22","BJ22","BN22","BQ22","BT22","BX22"}),"&gt;5"))-CK22</f>
        <v>9</v>
      </c>
      <c r="CM22" s="392">
        <f ca="1">SUM(COUNTIF(INDIRECT({"c22","F22","K22","O22","T22","X22","AC22","AH22","AM22","AQ22","AU22","AY22","BC22","BF22","BJ22","BN22","BQ22","BT22","BX22"}),"&gt;2"))-CL22-CK22</f>
        <v>10</v>
      </c>
      <c r="CN22" s="393">
        <f ca="1">SUM(COUNTIF(INDIRECT({"c22","F22","K22","O22","T22","X22","AC22","AH22","AM22","AQ22","AU22","AY22","BC22","BF22","BJ22","BN22","BQ22","BT22","BX22"}),"&lt;3"))-CO22</f>
        <v>0</v>
      </c>
      <c r="CO22" s="417">
        <f ca="1">SUM(COUNTIF(INDIRECT({"c22","F22","K22","O22","T22","X22","AC22","AH22","AM22","AQ22","AU22","AY22","BC22","BF22","BJ22","BN22","BQ22","BT22","BX22"}),"=0"))</f>
        <v>0</v>
      </c>
      <c r="CP22" s="390">
        <f ca="1">SUM(COUNTIF(INDIRECT({"D22","G22","L22","P22","U22","Y22","AD22","AI22","AN22","AR22","AV22","AZ22","BD22","BG22","BK22","CB22","CD22","CF22"}),"&gt;8"))</f>
        <v>1</v>
      </c>
      <c r="CQ22" s="391">
        <f ca="1">SUM(COUNTIF(INDIRECT({"D22","G22","L22","P22","U22","Y22","AD22","AI22","AN22","AR22","AV22","AZ22","BD22","BG22","BK22","CB22","CD22","CF22"}),"&gt;5"))-CP22</f>
        <v>10</v>
      </c>
      <c r="CR22" s="392">
        <f ca="1">SUM(COUNTIF(INDIRECT({"D22","G22","L22","P22","U22","Y22","AD22","AI22","AN22","AR22","AV22","AZ22","BD22","BG22","BK22","CB22","CD22","CF22"}),"&gt;2"))-CQ22-CP22</f>
        <v>7</v>
      </c>
      <c r="CS22" s="393">
        <f ca="1">SUM(COUNTIF(INDIRECT({"D22","G22","L22","P22","U22","Y22","AD22","AI22","AN22","AR22","AV22","AZ22","BD22","BG22","BK22","CB22","CD22","CF22"}),"&lt;3"))-CT22</f>
        <v>0</v>
      </c>
      <c r="CT22" s="417">
        <f ca="1">SUM(COUNTIF(INDIRECT({"D22","G22","L22","P22","U22","Y22","AD22","AI22","AN22","AR22","AV22","AZ22","BD22","BG22","BK22","CB22","CD22","CF22"}),"=0"))</f>
        <v>0</v>
      </c>
      <c r="CU22" s="390">
        <f ca="1">SUM(COUNTIF(INDIRECT({"E22","H22","M22","Q22","V22","Z22","AE22","AJ22","AO22","AS22","AW22","BA22","BE22","BH22","BL22","BO22","BR22","BU22","BY22","CC22","CE22","CG22"}),"&gt;8"))</f>
        <v>0</v>
      </c>
      <c r="CV22" s="391">
        <f ca="1">SUM(COUNTIF(INDIRECT({"E22","H22","M22","Q22","V22","Z22","AE22","AJ22","AO22","AS22","AW22","BA22","BE22","BH22","BL22","BO22","BR22","BU22","BY22","CC22","CE22","CG22"}),"&gt;5"))-CU22</f>
        <v>14</v>
      </c>
      <c r="CW22" s="392">
        <f ca="1">SUM(COUNTIF(INDIRECT({"E22","H22","M22","Q22","V22","Z22","AE22","AJ22","AO22","AS22","AW22","BA22","BE22","BH22","BL22","BO22","BR22","BU22","BY22","CC22","CE22","CG22"}),"&gt;2"))-CV22-CU22</f>
        <v>8</v>
      </c>
      <c r="CX22" s="393">
        <f ca="1">SUM(COUNTIF(INDIRECT({"E22","H22","M22","Q22","V22","Z22","AE22","AJ22","AO22","AS22","AW22","BA22","BE22","BH22","BL22","BO22","BR22","BU22","BY22","CC22","CE22","CG22"}),"&lt;3"))-CY22</f>
        <v>0</v>
      </c>
      <c r="CY22" s="438">
        <f ca="1">SUM(COUNTIF(INDIRECT({"E22","H22","M22","Q22","V22","Z22","AE22","AJ22","AO22","AS22","AW22","BA22","BE22","BH22","BL22","BO22","BR22","BU22","BY22","CC22","CE22","CG22"}),"=0"))</f>
        <v>0</v>
      </c>
      <c r="CZ22" s="5">
        <v>8</v>
      </c>
      <c r="DA22" s="5">
        <v>7</v>
      </c>
    </row>
    <row r="23" spans="1:105" ht="12.75">
      <c r="A23" s="2">
        <v>20</v>
      </c>
      <c r="B23" s="204" t="s">
        <v>174</v>
      </c>
      <c r="C23" s="316">
        <v>7</v>
      </c>
      <c r="D23" s="313">
        <v>6</v>
      </c>
      <c r="E23" s="313">
        <f t="shared" si="4"/>
        <v>6.5</v>
      </c>
      <c r="F23" s="368">
        <v>5</v>
      </c>
      <c r="G23" s="313">
        <v>5</v>
      </c>
      <c r="H23" s="313">
        <f t="shared" si="5"/>
        <v>5</v>
      </c>
      <c r="I23" s="427" t="s">
        <v>392</v>
      </c>
      <c r="J23" s="318">
        <v>5</v>
      </c>
      <c r="K23" s="316">
        <v>5</v>
      </c>
      <c r="L23" s="313">
        <v>5</v>
      </c>
      <c r="M23" s="313">
        <f t="shared" si="6"/>
        <v>5</v>
      </c>
      <c r="N23" s="359">
        <f t="shared" si="7"/>
        <v>5</v>
      </c>
      <c r="O23" s="368">
        <v>4</v>
      </c>
      <c r="P23" s="313">
        <v>5</v>
      </c>
      <c r="Q23" s="313">
        <v>5</v>
      </c>
      <c r="R23" s="423"/>
      <c r="S23" s="359">
        <v>5</v>
      </c>
      <c r="T23" s="368">
        <v>6</v>
      </c>
      <c r="U23" s="313">
        <v>5</v>
      </c>
      <c r="V23" s="313">
        <f t="shared" si="8"/>
        <v>5.5</v>
      </c>
      <c r="W23" s="359">
        <f t="shared" si="9"/>
        <v>5.5</v>
      </c>
      <c r="X23" s="368">
        <v>4</v>
      </c>
      <c r="Y23" s="313">
        <v>4</v>
      </c>
      <c r="Z23" s="313">
        <f t="shared" si="10"/>
        <v>4</v>
      </c>
      <c r="AA23" s="313">
        <v>5</v>
      </c>
      <c r="AB23" s="318">
        <v>5</v>
      </c>
      <c r="AC23" s="316">
        <v>6</v>
      </c>
      <c r="AD23" s="313">
        <v>5</v>
      </c>
      <c r="AE23" s="313">
        <f t="shared" si="11"/>
        <v>5.5</v>
      </c>
      <c r="AF23" s="313">
        <v>5</v>
      </c>
      <c r="AG23" s="313">
        <v>6</v>
      </c>
      <c r="AH23" s="316">
        <v>5</v>
      </c>
      <c r="AI23" s="313">
        <v>4</v>
      </c>
      <c r="AJ23" s="313">
        <f t="shared" si="12"/>
        <v>4.5</v>
      </c>
      <c r="AK23" s="313">
        <v>3</v>
      </c>
      <c r="AL23" s="359">
        <v>4</v>
      </c>
      <c r="AM23" s="316">
        <v>4</v>
      </c>
      <c r="AN23" s="313">
        <v>4</v>
      </c>
      <c r="AO23" s="313">
        <f t="shared" si="13"/>
        <v>4</v>
      </c>
      <c r="AP23" s="318">
        <f t="shared" si="14"/>
        <v>4</v>
      </c>
      <c r="AQ23" s="316">
        <v>7</v>
      </c>
      <c r="AR23" s="313">
        <v>5</v>
      </c>
      <c r="AS23" s="313">
        <f t="shared" si="15"/>
        <v>6</v>
      </c>
      <c r="AT23" s="318">
        <f t="shared" si="16"/>
        <v>6</v>
      </c>
      <c r="AU23" s="316">
        <v>5</v>
      </c>
      <c r="AV23" s="313">
        <v>5</v>
      </c>
      <c r="AW23" s="313">
        <f t="shared" si="17"/>
        <v>5</v>
      </c>
      <c r="AX23" s="318">
        <f t="shared" si="18"/>
        <v>5</v>
      </c>
      <c r="AY23" s="316">
        <v>6</v>
      </c>
      <c r="AZ23" s="313">
        <v>6</v>
      </c>
      <c r="BA23" s="313">
        <f t="shared" si="19"/>
        <v>6</v>
      </c>
      <c r="BB23" s="318">
        <f t="shared" si="20"/>
        <v>6</v>
      </c>
      <c r="BC23" s="316">
        <v>1</v>
      </c>
      <c r="BD23" s="313">
        <v>1</v>
      </c>
      <c r="BE23" s="318">
        <f t="shared" si="32"/>
        <v>1</v>
      </c>
      <c r="BF23" s="316">
        <v>7</v>
      </c>
      <c r="BG23" s="313">
        <v>7</v>
      </c>
      <c r="BH23" s="313">
        <f t="shared" si="21"/>
        <v>7</v>
      </c>
      <c r="BI23" s="318">
        <f t="shared" si="22"/>
        <v>7</v>
      </c>
      <c r="BJ23" s="316">
        <v>6</v>
      </c>
      <c r="BK23" s="313">
        <v>5</v>
      </c>
      <c r="BL23" s="313">
        <f t="shared" si="23"/>
        <v>5.5</v>
      </c>
      <c r="BM23" s="359">
        <f t="shared" si="0"/>
        <v>5.5</v>
      </c>
      <c r="BN23" s="309">
        <v>7</v>
      </c>
      <c r="BO23" s="309">
        <f t="shared" si="24"/>
        <v>7</v>
      </c>
      <c r="BP23" s="309">
        <f t="shared" si="25"/>
        <v>7</v>
      </c>
      <c r="BQ23" s="316">
        <v>7</v>
      </c>
      <c r="BR23" s="313">
        <f t="shared" si="26"/>
        <v>7</v>
      </c>
      <c r="BS23" s="359">
        <v>7</v>
      </c>
      <c r="BT23" s="316">
        <v>6</v>
      </c>
      <c r="BU23" s="313">
        <f t="shared" si="27"/>
        <v>6</v>
      </c>
      <c r="BV23" s="313">
        <v>6</v>
      </c>
      <c r="BW23" s="359">
        <v>6</v>
      </c>
      <c r="BX23" s="368">
        <v>6</v>
      </c>
      <c r="BY23" s="313">
        <f t="shared" si="31"/>
        <v>6</v>
      </c>
      <c r="BZ23" s="313">
        <v>7</v>
      </c>
      <c r="CA23" s="359">
        <v>6</v>
      </c>
      <c r="CB23" s="316">
        <v>6</v>
      </c>
      <c r="CC23" s="318">
        <f t="shared" si="28"/>
        <v>6</v>
      </c>
      <c r="CD23" s="316">
        <v>5</v>
      </c>
      <c r="CE23" s="318">
        <f t="shared" si="29"/>
        <v>5</v>
      </c>
      <c r="CF23" s="316">
        <v>5</v>
      </c>
      <c r="CG23" s="359">
        <f t="shared" si="30"/>
        <v>5</v>
      </c>
      <c r="CH23" s="335">
        <f t="shared" si="1"/>
        <v>5.473684210526316</v>
      </c>
      <c r="CI23" s="268">
        <f t="shared" si="2"/>
        <v>4.888888888888889</v>
      </c>
      <c r="CJ23" s="307">
        <f t="shared" si="3"/>
        <v>5.340909090909091</v>
      </c>
      <c r="CK23" s="390">
        <f ca="1">SUM(COUNTIF(INDIRECT({"c23","F23","K23","O23","T23","X23","AC23","AH23","AM23","AQ23","AU23","AY23","BC23","BF23","BJ23","BN23","BQ23","BT23","BX23"}),"&gt;8"))</f>
        <v>0</v>
      </c>
      <c r="CL23" s="391">
        <f ca="1">SUM(COUNTIF(INDIRECT({"c23","F23","K23","O23","T23","X23","AC23","AH23","AM23","AQ23","AU23","AY23","BC23","BF23","BJ23","BN23","BQ23","BT23","BX23"}),"&gt;5"))-CK23</f>
        <v>11</v>
      </c>
      <c r="CM23" s="392">
        <f ca="1">SUM(COUNTIF(INDIRECT({"c23","F23","K23","O23","T23","X23","AC23","AH23","AM23","AQ23","AU23","AY23","BC23","BF23","BJ23","BN23","BQ23","BT23","BX23"}),"&gt;2"))-CL23-CK23</f>
        <v>7</v>
      </c>
      <c r="CN23" s="393">
        <f ca="1">SUM(COUNTIF(INDIRECT({"c23","F23","K23","O23","T23","X23","AC23","AH23","AM23","AQ23","AU23","AY23","BC23","BF23","BJ23","BN23","BQ23","BT23","BX23"}),"&lt;3"))-CO23</f>
        <v>1</v>
      </c>
      <c r="CO23" s="417">
        <f ca="1">SUM(COUNTIF(INDIRECT({"c23","F23","K23","O23","T23","X23","AC23","AH23","AM23","AQ23","AU23","AY23","BC23","BF23","BJ23","BN23","BQ23","BT23","BX23"}),"=0"))</f>
        <v>0</v>
      </c>
      <c r="CP23" s="390">
        <f ca="1">SUM(COUNTIF(INDIRECT({"D23","G23","L23","P23","U23","Y23","AD23","AI23","AN23","AR23","AV23","AZ23","BD23","BG23","BK23","CB23","CD23","CF23"}),"&gt;8"))</f>
        <v>0</v>
      </c>
      <c r="CQ23" s="391">
        <f ca="1">SUM(COUNTIF(INDIRECT({"D23","G23","L23","P23","U23","Y23","AD23","AI23","AN23","AR23","AV23","AZ23","BD23","BG23","BK23","CB23","CD23","CF23"}),"&gt;5"))-CP23</f>
        <v>4</v>
      </c>
      <c r="CR23" s="392">
        <f ca="1">SUM(COUNTIF(INDIRECT({"D23","G23","L23","P23","U23","Y23","AD23","AI23","AN23","AR23","AV23","AZ23","BD23","BG23","BK23","CB23","CD23","CF23"}),"&gt;2"))-CQ23-CP23</f>
        <v>13</v>
      </c>
      <c r="CS23" s="393">
        <f ca="1">SUM(COUNTIF(INDIRECT({"D23","G23","L23","P23","U23","Y23","AD23","AI23","AN23","AR23","AV23","AZ23","BD23","BG23","BK23","CB23","CD23","CF23"}),"&lt;3"))-CT23</f>
        <v>1</v>
      </c>
      <c r="CT23" s="417">
        <f ca="1">SUM(COUNTIF(INDIRECT({"D23","G23","L23","P23","U23","Y23","AD23","AI23","AN23","AR23","AV23","AZ23","BD23","BG23","BK23","CB23","CD23","CF23"}),"=0"))</f>
        <v>0</v>
      </c>
      <c r="CU23" s="390">
        <f ca="1">SUM(COUNTIF(INDIRECT({"E23","H23","M23","Q23","V23","Z23","AE23","AJ23","AO23","AS23","AW23","BA23","BE23","BH23","BL23","BO23","BR23","BU23","BY23","CC23","CE23","CG23"}),"&gt;8"))</f>
        <v>0</v>
      </c>
      <c r="CV23" s="391">
        <f ca="1">SUM(COUNTIF(INDIRECT({"E23","H23","M23","Q23","V23","Z23","AE23","AJ23","AO23","AS23","AW23","BA23","BE23","BH23","BL23","BO23","BR23","BU23","BY23","CC23","CE23","CG23"}),"&gt;5"))-CU23</f>
        <v>12</v>
      </c>
      <c r="CW23" s="392">
        <f ca="1">SUM(COUNTIF(INDIRECT({"E23","H23","M23","Q23","V23","Z23","AE23","AJ23","AO23","AS23","AW23","BA23","BE23","BH23","BL23","BO23","BR23","BU23","BY23","CC23","CE23","CG23"}),"&gt;2"))-CV23-CU23</f>
        <v>9</v>
      </c>
      <c r="CX23" s="393">
        <f ca="1">SUM(COUNTIF(INDIRECT({"E23","H23","M23","Q23","V23","Z23","AE23","AJ23","AO23","AS23","AW23","BA23","BE23","BH23","BL23","BO23","BR23","BU23","BY23","CC23","CE23","CG23"}),"&lt;3"))-CY23</f>
        <v>1</v>
      </c>
      <c r="CY23" s="438">
        <f ca="1">SUM(COUNTIF(INDIRECT({"E23","H23","M23","Q23","V23","Z23","AE23","AJ23","AO23","AS23","AW23","BA23","BE23","BH23","BL23","BO23","BR23","BU23","BY23","CC23","CE23","CG23"}),"=0"))</f>
        <v>0</v>
      </c>
      <c r="CZ23" s="5">
        <v>7</v>
      </c>
      <c r="DA23" s="5">
        <v>6</v>
      </c>
    </row>
    <row r="24" spans="1:105" ht="12.75">
      <c r="A24" s="2">
        <v>21</v>
      </c>
      <c r="B24" s="204" t="s">
        <v>175</v>
      </c>
      <c r="C24" s="316">
        <v>9</v>
      </c>
      <c r="D24" s="313">
        <v>8</v>
      </c>
      <c r="E24" s="313">
        <f t="shared" si="4"/>
        <v>8.5</v>
      </c>
      <c r="F24" s="368">
        <v>6</v>
      </c>
      <c r="G24" s="313">
        <v>5</v>
      </c>
      <c r="H24" s="313">
        <f t="shared" si="5"/>
        <v>5.5</v>
      </c>
      <c r="I24" s="423"/>
      <c r="J24" s="318">
        <v>6</v>
      </c>
      <c r="K24" s="316">
        <v>6</v>
      </c>
      <c r="L24" s="313">
        <v>7</v>
      </c>
      <c r="M24" s="313">
        <f t="shared" si="6"/>
        <v>6.5</v>
      </c>
      <c r="N24" s="359">
        <f t="shared" si="7"/>
        <v>6.5</v>
      </c>
      <c r="O24" s="368">
        <v>7</v>
      </c>
      <c r="P24" s="313">
        <v>6</v>
      </c>
      <c r="Q24" s="313">
        <v>7</v>
      </c>
      <c r="R24" s="423" t="s">
        <v>398</v>
      </c>
      <c r="S24" s="359">
        <v>7</v>
      </c>
      <c r="T24" s="368">
        <v>9</v>
      </c>
      <c r="U24" s="313">
        <v>6</v>
      </c>
      <c r="V24" s="313">
        <f t="shared" si="8"/>
        <v>7.5</v>
      </c>
      <c r="W24" s="359">
        <f t="shared" si="9"/>
        <v>7.5</v>
      </c>
      <c r="X24" s="368">
        <v>7</v>
      </c>
      <c r="Y24" s="313">
        <v>7</v>
      </c>
      <c r="Z24" s="313">
        <f t="shared" si="10"/>
        <v>7</v>
      </c>
      <c r="AA24" s="313">
        <v>7</v>
      </c>
      <c r="AB24" s="318">
        <v>7</v>
      </c>
      <c r="AC24" s="316">
        <v>5</v>
      </c>
      <c r="AD24" s="313">
        <v>5</v>
      </c>
      <c r="AE24" s="313">
        <f t="shared" si="11"/>
        <v>5</v>
      </c>
      <c r="AF24" s="313">
        <v>5</v>
      </c>
      <c r="AG24" s="313">
        <v>5</v>
      </c>
      <c r="AH24" s="316">
        <v>4</v>
      </c>
      <c r="AI24" s="313">
        <v>5</v>
      </c>
      <c r="AJ24" s="313">
        <f t="shared" si="12"/>
        <v>4.5</v>
      </c>
      <c r="AK24" s="313">
        <v>4</v>
      </c>
      <c r="AL24" s="359">
        <v>5</v>
      </c>
      <c r="AM24" s="316">
        <v>7</v>
      </c>
      <c r="AN24" s="313">
        <v>6</v>
      </c>
      <c r="AO24" s="313">
        <f t="shared" si="13"/>
        <v>6.5</v>
      </c>
      <c r="AP24" s="318">
        <f t="shared" si="14"/>
        <v>6.5</v>
      </c>
      <c r="AQ24" s="316">
        <v>6</v>
      </c>
      <c r="AR24" s="313">
        <v>7</v>
      </c>
      <c r="AS24" s="313">
        <f t="shared" si="15"/>
        <v>6.5</v>
      </c>
      <c r="AT24" s="318">
        <f t="shared" si="16"/>
        <v>6.5</v>
      </c>
      <c r="AU24" s="316">
        <v>5</v>
      </c>
      <c r="AV24" s="313">
        <v>4</v>
      </c>
      <c r="AW24" s="313">
        <v>4</v>
      </c>
      <c r="AX24" s="318">
        <f t="shared" si="18"/>
        <v>4</v>
      </c>
      <c r="AY24" s="316">
        <v>5</v>
      </c>
      <c r="AZ24" s="313">
        <v>5</v>
      </c>
      <c r="BA24" s="313">
        <f t="shared" si="19"/>
        <v>5</v>
      </c>
      <c r="BB24" s="318">
        <f t="shared" si="20"/>
        <v>5</v>
      </c>
      <c r="BC24" s="316">
        <v>6</v>
      </c>
      <c r="BD24" s="313">
        <v>1</v>
      </c>
      <c r="BE24" s="318">
        <f t="shared" si="32"/>
        <v>3.5</v>
      </c>
      <c r="BF24" s="316">
        <v>6</v>
      </c>
      <c r="BG24" s="313">
        <v>6</v>
      </c>
      <c r="BH24" s="313">
        <f t="shared" si="21"/>
        <v>6</v>
      </c>
      <c r="BI24" s="318">
        <f t="shared" si="22"/>
        <v>6</v>
      </c>
      <c r="BJ24" s="316">
        <v>7</v>
      </c>
      <c r="BK24" s="313">
        <v>8</v>
      </c>
      <c r="BL24" s="313">
        <f t="shared" si="23"/>
        <v>7.5</v>
      </c>
      <c r="BM24" s="359">
        <f t="shared" si="0"/>
        <v>7.5</v>
      </c>
      <c r="BN24" s="309">
        <v>8</v>
      </c>
      <c r="BO24" s="309">
        <f t="shared" si="24"/>
        <v>8</v>
      </c>
      <c r="BP24" s="309">
        <f t="shared" si="25"/>
        <v>8</v>
      </c>
      <c r="BQ24" s="316">
        <v>6</v>
      </c>
      <c r="BR24" s="313">
        <f t="shared" si="26"/>
        <v>6</v>
      </c>
      <c r="BS24" s="359">
        <v>6</v>
      </c>
      <c r="BT24" s="316">
        <v>6</v>
      </c>
      <c r="BU24" s="313">
        <f t="shared" si="27"/>
        <v>6</v>
      </c>
      <c r="BV24" s="313">
        <v>7</v>
      </c>
      <c r="BW24" s="359">
        <v>6</v>
      </c>
      <c r="BX24" s="368">
        <v>6</v>
      </c>
      <c r="BY24" s="313">
        <f t="shared" si="31"/>
        <v>6</v>
      </c>
      <c r="BZ24" s="313">
        <v>6</v>
      </c>
      <c r="CA24" s="359">
        <v>6</v>
      </c>
      <c r="CB24" s="316">
        <v>6</v>
      </c>
      <c r="CC24" s="318">
        <f t="shared" si="28"/>
        <v>6</v>
      </c>
      <c r="CD24" s="316">
        <v>6</v>
      </c>
      <c r="CE24" s="318">
        <f t="shared" si="29"/>
        <v>6</v>
      </c>
      <c r="CF24" s="316">
        <v>5</v>
      </c>
      <c r="CG24" s="359">
        <f t="shared" si="30"/>
        <v>5</v>
      </c>
      <c r="CH24" s="335">
        <f t="shared" si="1"/>
        <v>6.368421052631579</v>
      </c>
      <c r="CI24" s="268">
        <f t="shared" si="2"/>
        <v>5.722222222222222</v>
      </c>
      <c r="CJ24" s="307">
        <f t="shared" si="3"/>
        <v>6.068181818181818</v>
      </c>
      <c r="CK24" s="390">
        <f ca="1">SUM(COUNTIF(INDIRECT({"c24","F24","K24","O24","T24","X24","AC24","AH24","AM24","AQ24","AU24","AY24","BC24","BF24","BJ24","BN24","BQ24","BT24","BX24"}),"&gt;8"))</f>
        <v>2</v>
      </c>
      <c r="CL24" s="391">
        <f ca="1">SUM(COUNTIF(INDIRECT({"c24","F24","K24","O24","T24","X24","AC24","AH24","AM24","AQ24","AU24","AY24","BC24","BF24","BJ24","BN24","BQ24","BT24","BX24"}),"&gt;5"))-CK24</f>
        <v>13</v>
      </c>
      <c r="CM24" s="392">
        <f ca="1">SUM(COUNTIF(INDIRECT({"c24","F24","K24","O24","T24","X24","AC24","AH24","AM24","AQ24","AU24","AY24","BC24","BF24","BJ24","BN24","BQ24","BT24","BX24"}),"&gt;2"))-CL24-CK24</f>
        <v>4</v>
      </c>
      <c r="CN24" s="393">
        <f ca="1">SUM(COUNTIF(INDIRECT({"c24","F24","K24","O24","T24","X24","AC24","AH24","AM24","AQ24","AU24","AY24","BC24","BF24","BJ24","BN24","BQ24","BT24","BX24"}),"&lt;3"))-CO24</f>
        <v>0</v>
      </c>
      <c r="CO24" s="417">
        <f ca="1">SUM(COUNTIF(INDIRECT({"c24","F24","K24","O24","T24","X24","AC24","AH24","AM24","AQ24","AU24","AY24","BC24","BF24","BJ24","BN24","BQ24","BT24","BX24"}),"=0"))</f>
        <v>0</v>
      </c>
      <c r="CP24" s="390">
        <f ca="1">SUM(COUNTIF(INDIRECT({"D24","G24","L24","P24","U24","Y24","AD24","AI24","AN24","AR24","AV24","AZ24","BD24","BG24","BK24","CB24","CD24","CF24"}),"&gt;8"))</f>
        <v>0</v>
      </c>
      <c r="CQ24" s="391">
        <f ca="1">SUM(COUNTIF(INDIRECT({"D24","G24","L24","P24","U24","Y24","AD24","AI24","AN24","AR24","AV24","AZ24","BD24","BG24","BK24","CB24","CD24","CF24"}),"&gt;5"))-CP24</f>
        <v>11</v>
      </c>
      <c r="CR24" s="392">
        <f ca="1">SUM(COUNTIF(INDIRECT({"D24","G24","L24","P24","U24","Y24","AD24","AI24","AN24","AR24","AV24","AZ24","BD24","BG24","BK24","CB24","CD24","CF24"}),"&gt;2"))-CQ24-CP24</f>
        <v>6</v>
      </c>
      <c r="CS24" s="393">
        <f ca="1">SUM(COUNTIF(INDIRECT({"D24","G24","L24","P24","U24","Y24","AD24","AI24","AN24","AR24","AV24","AZ24","BD24","BG24","BK24","CB24","CD24","CF24"}),"&lt;3"))-CT24</f>
        <v>1</v>
      </c>
      <c r="CT24" s="417">
        <f ca="1">SUM(COUNTIF(INDIRECT({"D24","G24","L24","P24","U24","Y24","AD24","AI24","AN24","AR24","AV24","AZ24","BD24","BG24","BK24","CB24","CD24","CF24"}),"=0"))</f>
        <v>0</v>
      </c>
      <c r="CU24" s="390">
        <f ca="1">SUM(COUNTIF(INDIRECT({"E24","H24","M24","Q24","V24","Z24","AE24","AJ24","AO24","AS24","AW24","BA24","BE24","BH24","BL24","BO24","BR24","BU24","BY24","CC24","CE24","CG24"}),"&gt;8"))</f>
        <v>1</v>
      </c>
      <c r="CV24" s="391">
        <f ca="1">SUM(COUNTIF(INDIRECT({"E24","H24","M24","Q24","V24","Z24","AE24","AJ24","AO24","AS24","AW24","BA24","BE24","BH24","BL24","BO24","BR24","BU24","BY24","CC24","CE24","CG24"}),"&gt;5"))-CU24</f>
        <v>15</v>
      </c>
      <c r="CW24" s="392">
        <f ca="1">SUM(COUNTIF(INDIRECT({"E24","H24","M24","Q24","V24","Z24","AE24","AJ24","AO24","AS24","AW24","BA24","BE24","BH24","BL24","BO24","BR24","BU24","BY24","CC24","CE24","CG24"}),"&gt;2"))-CV24-CU24</f>
        <v>6</v>
      </c>
      <c r="CX24" s="393">
        <f ca="1">SUM(COUNTIF(INDIRECT({"E24","H24","M24","Q24","V24","Z24","AE24","AJ24","AO24","AS24","AW24","BA24","BE24","BH24","BL24","BO24","BR24","BU24","BY24","CC24","CE24","CG24"}),"&lt;3"))-CY24</f>
        <v>0</v>
      </c>
      <c r="CY24" s="438">
        <f ca="1">SUM(COUNTIF(INDIRECT({"E24","H24","M24","Q24","V24","Z24","AE24","AJ24","AO24","AS24","AW24","BA24","BE24","BH24","BL24","BO24","BR24","BU24","BY24","CC24","CE24","CG24"}),"=0"))</f>
        <v>0</v>
      </c>
      <c r="CZ24" s="5">
        <v>9</v>
      </c>
      <c r="DA24" s="5">
        <v>8</v>
      </c>
    </row>
    <row r="25" spans="1:105" ht="12.75">
      <c r="A25" s="2">
        <v>22</v>
      </c>
      <c r="B25" s="204" t="s">
        <v>176</v>
      </c>
      <c r="C25" s="316">
        <v>7</v>
      </c>
      <c r="D25" s="313">
        <v>8</v>
      </c>
      <c r="E25" s="313">
        <f t="shared" si="4"/>
        <v>7.5</v>
      </c>
      <c r="F25" s="368">
        <v>4</v>
      </c>
      <c r="G25" s="313">
        <v>5</v>
      </c>
      <c r="H25" s="313">
        <f t="shared" si="5"/>
        <v>4.5</v>
      </c>
      <c r="I25" s="423"/>
      <c r="J25" s="318">
        <v>5</v>
      </c>
      <c r="K25" s="316">
        <v>6</v>
      </c>
      <c r="L25" s="313">
        <v>6</v>
      </c>
      <c r="M25" s="313">
        <f t="shared" si="6"/>
        <v>6</v>
      </c>
      <c r="N25" s="359">
        <f t="shared" si="7"/>
        <v>6</v>
      </c>
      <c r="O25" s="368">
        <v>6</v>
      </c>
      <c r="P25" s="313">
        <v>7</v>
      </c>
      <c r="Q25" s="313">
        <v>7</v>
      </c>
      <c r="R25" s="423" t="s">
        <v>396</v>
      </c>
      <c r="S25" s="359">
        <v>7</v>
      </c>
      <c r="T25" s="368">
        <v>6</v>
      </c>
      <c r="U25" s="313">
        <v>7</v>
      </c>
      <c r="V25" s="313">
        <f t="shared" si="8"/>
        <v>6.5</v>
      </c>
      <c r="W25" s="359">
        <f t="shared" si="9"/>
        <v>6.5</v>
      </c>
      <c r="X25" s="368">
        <v>5</v>
      </c>
      <c r="Y25" s="313">
        <v>5</v>
      </c>
      <c r="Z25" s="313">
        <f t="shared" si="10"/>
        <v>5</v>
      </c>
      <c r="AA25" s="313">
        <v>7</v>
      </c>
      <c r="AB25" s="318">
        <v>6</v>
      </c>
      <c r="AC25" s="316">
        <v>7</v>
      </c>
      <c r="AD25" s="313">
        <v>6</v>
      </c>
      <c r="AE25" s="313">
        <f t="shared" si="11"/>
        <v>6.5</v>
      </c>
      <c r="AF25" s="313">
        <v>7</v>
      </c>
      <c r="AG25" s="313">
        <v>7</v>
      </c>
      <c r="AH25" s="316">
        <v>4</v>
      </c>
      <c r="AI25" s="313">
        <v>3</v>
      </c>
      <c r="AJ25" s="313">
        <f t="shared" si="12"/>
        <v>3.5</v>
      </c>
      <c r="AK25" s="313">
        <v>4</v>
      </c>
      <c r="AL25" s="359">
        <v>4</v>
      </c>
      <c r="AM25" s="316">
        <v>7</v>
      </c>
      <c r="AN25" s="313">
        <v>6</v>
      </c>
      <c r="AO25" s="313">
        <f t="shared" si="13"/>
        <v>6.5</v>
      </c>
      <c r="AP25" s="318">
        <f t="shared" si="14"/>
        <v>6.5</v>
      </c>
      <c r="AQ25" s="316">
        <v>6</v>
      </c>
      <c r="AR25" s="313">
        <v>6</v>
      </c>
      <c r="AS25" s="313">
        <f t="shared" si="15"/>
        <v>6</v>
      </c>
      <c r="AT25" s="318">
        <f t="shared" si="16"/>
        <v>6</v>
      </c>
      <c r="AU25" s="316">
        <v>6</v>
      </c>
      <c r="AV25" s="313">
        <v>6</v>
      </c>
      <c r="AW25" s="313">
        <f t="shared" si="17"/>
        <v>6</v>
      </c>
      <c r="AX25" s="318">
        <f t="shared" si="18"/>
        <v>6</v>
      </c>
      <c r="AY25" s="316">
        <v>6</v>
      </c>
      <c r="AZ25" s="313">
        <v>6</v>
      </c>
      <c r="BA25" s="313">
        <f t="shared" si="19"/>
        <v>6</v>
      </c>
      <c r="BB25" s="318">
        <f t="shared" si="20"/>
        <v>6</v>
      </c>
      <c r="BC25" s="316">
        <v>2</v>
      </c>
      <c r="BD25" s="313">
        <v>3</v>
      </c>
      <c r="BE25" s="318">
        <f t="shared" si="32"/>
        <v>2.5</v>
      </c>
      <c r="BF25" s="316">
        <v>5</v>
      </c>
      <c r="BG25" s="313">
        <v>6</v>
      </c>
      <c r="BH25" s="313">
        <f t="shared" si="21"/>
        <v>5.5</v>
      </c>
      <c r="BI25" s="318">
        <f t="shared" si="22"/>
        <v>5.5</v>
      </c>
      <c r="BJ25" s="316">
        <v>8</v>
      </c>
      <c r="BK25" s="313">
        <v>6</v>
      </c>
      <c r="BL25" s="313">
        <f t="shared" si="23"/>
        <v>7</v>
      </c>
      <c r="BM25" s="359">
        <f t="shared" si="0"/>
        <v>7</v>
      </c>
      <c r="BN25" s="309">
        <v>8</v>
      </c>
      <c r="BO25" s="309">
        <f t="shared" si="24"/>
        <v>8</v>
      </c>
      <c r="BP25" s="309">
        <f t="shared" si="25"/>
        <v>8</v>
      </c>
      <c r="BQ25" s="316">
        <v>4</v>
      </c>
      <c r="BR25" s="313">
        <f t="shared" si="26"/>
        <v>4</v>
      </c>
      <c r="BS25" s="359">
        <v>5</v>
      </c>
      <c r="BT25" s="316">
        <v>6</v>
      </c>
      <c r="BU25" s="313">
        <f t="shared" si="27"/>
        <v>6</v>
      </c>
      <c r="BV25" s="313">
        <v>5</v>
      </c>
      <c r="BW25" s="359">
        <v>5</v>
      </c>
      <c r="BX25" s="368">
        <v>5</v>
      </c>
      <c r="BY25" s="313">
        <f t="shared" si="31"/>
        <v>5</v>
      </c>
      <c r="BZ25" s="313">
        <v>5</v>
      </c>
      <c r="CA25" s="359">
        <v>5</v>
      </c>
      <c r="CB25" s="316">
        <v>4</v>
      </c>
      <c r="CC25" s="318">
        <f t="shared" si="28"/>
        <v>4</v>
      </c>
      <c r="CD25" s="316">
        <v>7</v>
      </c>
      <c r="CE25" s="318">
        <f t="shared" si="29"/>
        <v>7</v>
      </c>
      <c r="CF25" s="316">
        <v>7</v>
      </c>
      <c r="CG25" s="359">
        <f t="shared" si="30"/>
        <v>7</v>
      </c>
      <c r="CH25" s="335">
        <f t="shared" si="1"/>
        <v>5.684210526315789</v>
      </c>
      <c r="CI25" s="268">
        <f t="shared" si="2"/>
        <v>5.777777777777778</v>
      </c>
      <c r="CJ25" s="307">
        <f t="shared" si="3"/>
        <v>5.7727272727272725</v>
      </c>
      <c r="CK25" s="390">
        <f ca="1">SUM(COUNTIF(INDIRECT({"c25","F25","K25","O25","T25","X25","AC25","AH25","AM25","AQ25","AU25","AY25","BC25","BF25","BJ25","BN25","BQ25","BT25","BX25"}),"&gt;8"))</f>
        <v>0</v>
      </c>
      <c r="CL25" s="391">
        <f ca="1">SUM(COUNTIF(INDIRECT({"c25","F25","K25","O25","T25","X25","AC25","AH25","AM25","AQ25","AU25","AY25","BC25","BF25","BJ25","BN25","BQ25","BT25","BX25"}),"&gt;5"))-CK25</f>
        <v>12</v>
      </c>
      <c r="CM25" s="392">
        <f ca="1">SUM(COUNTIF(INDIRECT({"c25","F25","K25","O25","T25","X25","AC25","AH25","AM25","AQ25","AU25","AY25","BC25","BF25","BJ25","BN25","BQ25","BT25","BX25"}),"&gt;2"))-CL25-CK25</f>
        <v>6</v>
      </c>
      <c r="CN25" s="393">
        <f ca="1">SUM(COUNTIF(INDIRECT({"c25","F25","K25","O25","T25","X25","AC25","AH25","AM25","AQ25","AU25","AY25","BC25","BF25","BJ25","BN25","BQ25","BT25","BX25"}),"&lt;3"))-CO25</f>
        <v>1</v>
      </c>
      <c r="CO25" s="417">
        <f ca="1">SUM(COUNTIF(INDIRECT({"c25","F25","K25","O25","T25","X25","AC25","AH25","AM25","AQ25","AU25","AY25","BC25","BF25","BJ25","BN25","BQ25","BT25","BX25"}),"=0"))</f>
        <v>0</v>
      </c>
      <c r="CP25" s="390">
        <f ca="1">SUM(COUNTIF(INDIRECT({"D25","G25","L25","P25","U25","Y25","AD25","AI25","AN25","AR25","AV25","AZ25","BD25","BG25","BK25","CB25","CD25","CF25"}),"&gt;8"))</f>
        <v>0</v>
      </c>
      <c r="CQ25" s="391">
        <f ca="1">SUM(COUNTIF(INDIRECT({"D25","G25","L25","P25","U25","Y25","AD25","AI25","AN25","AR25","AV25","AZ25","BD25","BG25","BK25","CB25","CD25","CF25"}),"&gt;5"))-CP25</f>
        <v>13</v>
      </c>
      <c r="CR25" s="392">
        <f ca="1">SUM(COUNTIF(INDIRECT({"D25","G25","L25","P25","U25","Y25","AD25","AI25","AN25","AR25","AV25","AZ25","BD25","BG25","BK25","CB25","CD25","CF25"}),"&gt;2"))-CQ25-CP25</f>
        <v>5</v>
      </c>
      <c r="CS25" s="393">
        <f ca="1">SUM(COUNTIF(INDIRECT({"D25","G25","L25","P25","U25","Y25","AD25","AI25","AN25","AR25","AV25","AZ25","BD25","BG25","BK25","CB25","CD25","CF25"}),"&lt;3"))-CT25</f>
        <v>0</v>
      </c>
      <c r="CT25" s="417">
        <f ca="1">SUM(COUNTIF(INDIRECT({"D25","G25","L25","P25","U25","Y25","AD25","AI25","AN25","AR25","AV25","AZ25","BD25","BG25","BK25","CB25","CD25","CF25"}),"=0"))</f>
        <v>0</v>
      </c>
      <c r="CU25" s="390">
        <f ca="1">SUM(COUNTIF(INDIRECT({"E25","H25","M25","Q25","V25","Z25","AE25","AJ25","AO25","AS25","AW25","BA25","BE25","BH25","BL25","BO25","BR25","BU25","BY25","CC25","CE25","CG25"}),"&gt;8"))</f>
        <v>0</v>
      </c>
      <c r="CV25" s="391">
        <f ca="1">SUM(COUNTIF(INDIRECT({"E25","H25","M25","Q25","V25","Z25","AE25","AJ25","AO25","AS25","AW25","BA25","BE25","BH25","BL25","BO25","BR25","BU25","BY25","CC25","CE25","CG25"}),"&gt;5"))-CU25</f>
        <v>15</v>
      </c>
      <c r="CW25" s="392">
        <f ca="1">SUM(COUNTIF(INDIRECT({"E25","H25","M25","Q25","V25","Z25","AE25","AJ25","AO25","AS25","AW25","BA25","BE25","BH25","BL25","BO25","BR25","BU25","BY25","CC25","CE25","CG25"}),"&gt;2"))-CV25-CU25</f>
        <v>7</v>
      </c>
      <c r="CX25" s="393">
        <v>0</v>
      </c>
      <c r="CY25" s="438">
        <f ca="1">SUM(COUNTIF(INDIRECT({"E25","H25","M25","Q25","V25","Z25","AE25","AJ25","AO25","AS25","AW25","BA25","BE25","BH25","BL25","BO25","BR25","BU25","BY25","CC25","CE25","CG25"}),"=0"))</f>
        <v>0</v>
      </c>
      <c r="CZ25" s="5">
        <v>7</v>
      </c>
      <c r="DA25" s="5">
        <v>8</v>
      </c>
    </row>
    <row r="26" spans="1:105" ht="12.75">
      <c r="A26" s="2">
        <v>23</v>
      </c>
      <c r="B26" s="205" t="s">
        <v>177</v>
      </c>
      <c r="C26" s="316">
        <v>6</v>
      </c>
      <c r="D26" s="313">
        <v>4</v>
      </c>
      <c r="E26" s="313">
        <f t="shared" si="4"/>
        <v>5</v>
      </c>
      <c r="F26" s="368">
        <v>3</v>
      </c>
      <c r="G26" s="313">
        <v>5</v>
      </c>
      <c r="H26" s="313">
        <v>5</v>
      </c>
      <c r="I26" s="423" t="s">
        <v>392</v>
      </c>
      <c r="J26" s="318">
        <v>5</v>
      </c>
      <c r="K26" s="316">
        <v>3</v>
      </c>
      <c r="L26" s="313">
        <v>4</v>
      </c>
      <c r="M26" s="313">
        <f t="shared" si="6"/>
        <v>3.5</v>
      </c>
      <c r="N26" s="359">
        <f t="shared" si="7"/>
        <v>3.5</v>
      </c>
      <c r="O26" s="368">
        <v>4</v>
      </c>
      <c r="P26" s="313">
        <v>3</v>
      </c>
      <c r="Q26" s="313">
        <v>4</v>
      </c>
      <c r="R26" s="135"/>
      <c r="S26" s="359">
        <v>4</v>
      </c>
      <c r="T26" s="368">
        <v>4</v>
      </c>
      <c r="U26" s="313">
        <v>3</v>
      </c>
      <c r="V26" s="313">
        <f t="shared" si="8"/>
        <v>3.5</v>
      </c>
      <c r="W26" s="359">
        <f t="shared" si="9"/>
        <v>3.5</v>
      </c>
      <c r="X26" s="368">
        <v>2</v>
      </c>
      <c r="Y26" s="313">
        <v>3</v>
      </c>
      <c r="Z26" s="313">
        <f t="shared" si="10"/>
        <v>2.5</v>
      </c>
      <c r="AA26" s="313">
        <v>3</v>
      </c>
      <c r="AB26" s="318">
        <v>3</v>
      </c>
      <c r="AC26" s="316">
        <v>1</v>
      </c>
      <c r="AD26" s="313">
        <v>1</v>
      </c>
      <c r="AE26" s="313">
        <f t="shared" si="11"/>
        <v>1</v>
      </c>
      <c r="AF26" s="313">
        <v>3</v>
      </c>
      <c r="AG26" s="313">
        <v>2</v>
      </c>
      <c r="AH26" s="316">
        <v>2</v>
      </c>
      <c r="AI26" s="313">
        <v>2</v>
      </c>
      <c r="AJ26" s="313">
        <f t="shared" si="12"/>
        <v>2</v>
      </c>
      <c r="AK26" s="313">
        <v>3</v>
      </c>
      <c r="AL26" s="359">
        <v>3</v>
      </c>
      <c r="AM26" s="316">
        <v>3</v>
      </c>
      <c r="AN26" s="313">
        <v>3</v>
      </c>
      <c r="AO26" s="313">
        <f t="shared" si="13"/>
        <v>3</v>
      </c>
      <c r="AP26" s="318">
        <f t="shared" si="14"/>
        <v>3</v>
      </c>
      <c r="AQ26" s="316">
        <v>3</v>
      </c>
      <c r="AR26" s="313">
        <v>5</v>
      </c>
      <c r="AS26" s="313">
        <f t="shared" si="15"/>
        <v>4</v>
      </c>
      <c r="AT26" s="318">
        <f t="shared" si="16"/>
        <v>4</v>
      </c>
      <c r="AU26" s="316">
        <v>3</v>
      </c>
      <c r="AV26" s="313">
        <v>3</v>
      </c>
      <c r="AW26" s="313">
        <f t="shared" si="17"/>
        <v>3</v>
      </c>
      <c r="AX26" s="318">
        <f t="shared" si="18"/>
        <v>3</v>
      </c>
      <c r="AY26" s="316">
        <v>3</v>
      </c>
      <c r="AZ26" s="313">
        <v>3</v>
      </c>
      <c r="BA26" s="313">
        <f t="shared" si="19"/>
        <v>3</v>
      </c>
      <c r="BB26" s="318">
        <f t="shared" si="20"/>
        <v>3</v>
      </c>
      <c r="BC26" s="316">
        <v>3</v>
      </c>
      <c r="BD26" s="313">
        <v>3</v>
      </c>
      <c r="BE26" s="318">
        <f t="shared" si="32"/>
        <v>3</v>
      </c>
      <c r="BF26" s="316">
        <v>6</v>
      </c>
      <c r="BG26" s="313">
        <v>8</v>
      </c>
      <c r="BH26" s="313">
        <f t="shared" si="21"/>
        <v>7</v>
      </c>
      <c r="BI26" s="318">
        <f t="shared" si="22"/>
        <v>7</v>
      </c>
      <c r="BJ26" s="316">
        <v>4</v>
      </c>
      <c r="BK26" s="313">
        <v>4</v>
      </c>
      <c r="BL26" s="313">
        <f t="shared" si="23"/>
        <v>4</v>
      </c>
      <c r="BM26" s="359">
        <f t="shared" si="0"/>
        <v>4</v>
      </c>
      <c r="BN26" s="309">
        <v>5</v>
      </c>
      <c r="BO26" s="309">
        <f t="shared" si="24"/>
        <v>5</v>
      </c>
      <c r="BP26" s="309">
        <f t="shared" si="25"/>
        <v>5</v>
      </c>
      <c r="BQ26" s="316">
        <v>3</v>
      </c>
      <c r="BR26" s="313">
        <f t="shared" si="26"/>
        <v>3</v>
      </c>
      <c r="BS26" s="359">
        <v>4</v>
      </c>
      <c r="BT26" s="316">
        <v>4</v>
      </c>
      <c r="BU26" s="313">
        <f t="shared" si="27"/>
        <v>4</v>
      </c>
      <c r="BV26" s="313">
        <v>4</v>
      </c>
      <c r="BW26" s="359">
        <v>4</v>
      </c>
      <c r="BX26" s="368">
        <v>4</v>
      </c>
      <c r="BY26" s="313">
        <f t="shared" si="31"/>
        <v>4</v>
      </c>
      <c r="BZ26" s="313">
        <v>3</v>
      </c>
      <c r="CA26" s="359">
        <v>4</v>
      </c>
      <c r="CB26" s="316">
        <v>3</v>
      </c>
      <c r="CC26" s="318">
        <f t="shared" si="28"/>
        <v>3</v>
      </c>
      <c r="CD26" s="316">
        <v>4</v>
      </c>
      <c r="CE26" s="318">
        <f t="shared" si="29"/>
        <v>4</v>
      </c>
      <c r="CF26" s="316">
        <v>4</v>
      </c>
      <c r="CG26" s="359">
        <f t="shared" si="30"/>
        <v>4</v>
      </c>
      <c r="CH26" s="335">
        <f t="shared" si="1"/>
        <v>3.473684210526316</v>
      </c>
      <c r="CI26" s="268">
        <f t="shared" si="2"/>
        <v>3.611111111111111</v>
      </c>
      <c r="CJ26" s="307">
        <f t="shared" si="3"/>
        <v>3.659090909090909</v>
      </c>
      <c r="CK26" s="390">
        <f ca="1">SUM(COUNTIF(INDIRECT({"c26","F26","K26","O26","T26","X26","AC26","AH26","AM26","AQ26","AU26","AY26","BC26","BF26","BJ26","BN26","BQ26","BT26","BX26"}),"&gt;8"))</f>
        <v>0</v>
      </c>
      <c r="CL26" s="391">
        <f ca="1">SUM(COUNTIF(INDIRECT({"c26","F26","K26","O26","T26","X26","AC26","AH26","AM26","AQ26","AU26","AY26","BC26","BF26","BJ26","BN26","BQ26","BT26","BX26"}),"&gt;5"))-CK26</f>
        <v>2</v>
      </c>
      <c r="CM26" s="392">
        <f ca="1">SUM(COUNTIF(INDIRECT({"c26","F26","K26","O26","T26","X26","AC26","AH26","AM26","AQ26","AU26","AY26","BC26","BF26","BJ26","BN26","BQ26","BT26","BX26"}),"&gt;2"))-CL26-CK26</f>
        <v>14</v>
      </c>
      <c r="CN26" s="393">
        <f ca="1">SUM(COUNTIF(INDIRECT({"c26","F26","K26","O26","T26","X26","AC26","AH26","AM26","AQ26","AU26","AY26","BC26","BF26","BJ26","BN26","BQ26","BT26","BX26"}),"&lt;3"))-CO26</f>
        <v>3</v>
      </c>
      <c r="CO26" s="417">
        <f ca="1">SUM(COUNTIF(INDIRECT({"c26","F26","K26","O26","T26","X26","AC26","AH26","AM26","AQ26","AU26","AY26","BC26","BF26","BJ26","BN26","BQ26","BT26","BX26"}),"=0"))</f>
        <v>0</v>
      </c>
      <c r="CP26" s="390">
        <f ca="1">SUM(COUNTIF(INDIRECT({"D26","G26","L26","P26","U26","Y26","AD26","AI26","AN26","AR26","AV26","AZ26","BD26","BG26","BK26","CB26","CD26","CF26"}),"&gt;8"))</f>
        <v>0</v>
      </c>
      <c r="CQ26" s="391">
        <f ca="1">SUM(COUNTIF(INDIRECT({"D26","G26","L26","P26","U26","Y26","AD26","AI26","AN26","AR26","AV26","AZ26","BD26","BG26","BK26","CB26","CD26","CF26"}),"&gt;5"))-CP26</f>
        <v>1</v>
      </c>
      <c r="CR26" s="392">
        <f ca="1">SUM(COUNTIF(INDIRECT({"D26","G26","L26","P26","U26","Y26","AD26","AI26","AN26","AR26","AV26","AZ26","BD26","BG26","BK26","CB26","CD26","CF26"}),"&gt;2"))-CQ26-CP26</f>
        <v>15</v>
      </c>
      <c r="CS26" s="393">
        <f ca="1">SUM(COUNTIF(INDIRECT({"D26","G26","L26","P26","U26","Y26","AD26","AI26","AN26","AR26","AV26","AZ26","BD26","BG26","BK26","CB26","CD26","CF26"}),"&lt;3"))-CT26</f>
        <v>2</v>
      </c>
      <c r="CT26" s="417">
        <f ca="1">SUM(COUNTIF(INDIRECT({"D26","G26","L26","P26","U26","Y26","AD26","AI26","AN26","AR26","AV26","AZ26","BD26","BG26","BK26","CB26","CD26","CF26"}),"=0"))</f>
        <v>0</v>
      </c>
      <c r="CU26" s="390">
        <f ca="1">SUM(COUNTIF(INDIRECT({"E26","H26","M26","Q26","V26","Z26","AE26","AJ26","AO26","AS26","AW26","BA26","BE26","BH26","BL26","BO26","BR26","BU26","BY26","CC26","CE26","CG26"}),"&gt;8"))</f>
        <v>0</v>
      </c>
      <c r="CV26" s="391">
        <f ca="1">SUM(COUNTIF(INDIRECT({"E26","H26","M26","Q26","V26","Z26","AE26","AJ26","AO26","AS26","AW26","BA26","BE26","BH26","BL26","BO26","BR26","BU26","BY26","CC26","CE26","CG26"}),"&gt;5"))-CU26</f>
        <v>1</v>
      </c>
      <c r="CW26" s="392">
        <f ca="1">SUM(COUNTIF(INDIRECT({"E26","H26","M26","Q26","V26","Z26","AE26","AJ26","AO26","AS26","AW26","BA26","BE26","BH26","BL26","BO26","BR26","BU26","BY26","CC26","CE26","CG26"}),"&gt;2"))-CV26-CU26</f>
        <v>19</v>
      </c>
      <c r="CX26" s="393">
        <v>2</v>
      </c>
      <c r="CY26" s="438">
        <f ca="1">SUM(COUNTIF(INDIRECT({"E26","H26","M26","Q26","V26","Z26","AE26","AJ26","AO26","AS26","AW26","BA26","BE26","BH26","BL26","BO26","BR26","BU26","BY26","CC26","CE26","CG26"}),"=0"))</f>
        <v>0</v>
      </c>
      <c r="CZ26" s="5">
        <v>6</v>
      </c>
      <c r="DA26" s="5">
        <v>4</v>
      </c>
    </row>
    <row r="27" spans="1:105" ht="13.5" thickBot="1">
      <c r="A27" s="2">
        <v>24</v>
      </c>
      <c r="B27" s="205" t="s">
        <v>178</v>
      </c>
      <c r="C27" s="360">
        <v>8</v>
      </c>
      <c r="D27" s="361">
        <v>8</v>
      </c>
      <c r="E27" s="313">
        <f t="shared" si="4"/>
        <v>8</v>
      </c>
      <c r="F27" s="369">
        <v>4</v>
      </c>
      <c r="G27" s="361">
        <v>4</v>
      </c>
      <c r="H27" s="361">
        <f t="shared" si="5"/>
        <v>4</v>
      </c>
      <c r="I27" s="429" t="s">
        <v>406</v>
      </c>
      <c r="J27" s="363">
        <v>4</v>
      </c>
      <c r="K27" s="360">
        <v>6</v>
      </c>
      <c r="L27" s="361">
        <v>8</v>
      </c>
      <c r="M27" s="361">
        <f t="shared" si="6"/>
        <v>7</v>
      </c>
      <c r="N27" s="362">
        <f t="shared" si="7"/>
        <v>7</v>
      </c>
      <c r="O27" s="369">
        <v>5</v>
      </c>
      <c r="P27" s="361">
        <v>4</v>
      </c>
      <c r="Q27" s="361">
        <v>5</v>
      </c>
      <c r="R27" s="433"/>
      <c r="S27" s="362">
        <v>5</v>
      </c>
      <c r="T27" s="369">
        <v>6</v>
      </c>
      <c r="U27" s="361">
        <v>5</v>
      </c>
      <c r="V27" s="361">
        <f>AVERAGE(T27:U27)</f>
        <v>5.5</v>
      </c>
      <c r="W27" s="362">
        <f>V27</f>
        <v>5.5</v>
      </c>
      <c r="X27" s="369">
        <v>6</v>
      </c>
      <c r="Y27" s="361">
        <v>6</v>
      </c>
      <c r="Z27" s="361">
        <f t="shared" si="10"/>
        <v>6</v>
      </c>
      <c r="AA27" s="361">
        <v>6</v>
      </c>
      <c r="AB27" s="363">
        <v>6</v>
      </c>
      <c r="AC27" s="360">
        <v>7</v>
      </c>
      <c r="AD27" s="361">
        <v>5</v>
      </c>
      <c r="AE27" s="361">
        <f t="shared" si="11"/>
        <v>6</v>
      </c>
      <c r="AF27" s="313">
        <v>6</v>
      </c>
      <c r="AG27" s="313">
        <v>6</v>
      </c>
      <c r="AH27" s="360">
        <v>4</v>
      </c>
      <c r="AI27" s="361">
        <v>5</v>
      </c>
      <c r="AJ27" s="361">
        <f t="shared" si="12"/>
        <v>4.5</v>
      </c>
      <c r="AK27" s="361">
        <v>5</v>
      </c>
      <c r="AL27" s="362">
        <v>5</v>
      </c>
      <c r="AM27" s="360">
        <v>7</v>
      </c>
      <c r="AN27" s="361">
        <v>7</v>
      </c>
      <c r="AO27" s="361">
        <f t="shared" si="13"/>
        <v>7</v>
      </c>
      <c r="AP27" s="363">
        <f t="shared" si="14"/>
        <v>7</v>
      </c>
      <c r="AQ27" s="360">
        <v>7</v>
      </c>
      <c r="AR27" s="361">
        <v>7</v>
      </c>
      <c r="AS27" s="361">
        <f t="shared" si="15"/>
        <v>7</v>
      </c>
      <c r="AT27" s="363">
        <f t="shared" si="16"/>
        <v>7</v>
      </c>
      <c r="AU27" s="360">
        <v>7</v>
      </c>
      <c r="AV27" s="361">
        <v>7</v>
      </c>
      <c r="AW27" s="361">
        <f t="shared" si="17"/>
        <v>7</v>
      </c>
      <c r="AX27" s="363">
        <f t="shared" si="18"/>
        <v>7</v>
      </c>
      <c r="AY27" s="360">
        <v>7</v>
      </c>
      <c r="AZ27" s="361">
        <v>7</v>
      </c>
      <c r="BA27" s="361">
        <f t="shared" si="19"/>
        <v>7</v>
      </c>
      <c r="BB27" s="363">
        <f t="shared" si="20"/>
        <v>7</v>
      </c>
      <c r="BC27" s="360">
        <v>6</v>
      </c>
      <c r="BD27" s="361">
        <v>7</v>
      </c>
      <c r="BE27" s="363">
        <f t="shared" si="32"/>
        <v>6.5</v>
      </c>
      <c r="BF27" s="360">
        <v>6</v>
      </c>
      <c r="BG27" s="361">
        <v>6</v>
      </c>
      <c r="BH27" s="361">
        <f t="shared" si="21"/>
        <v>6</v>
      </c>
      <c r="BI27" s="363">
        <f t="shared" si="22"/>
        <v>6</v>
      </c>
      <c r="BJ27" s="360">
        <v>6</v>
      </c>
      <c r="BK27" s="361">
        <v>8</v>
      </c>
      <c r="BL27" s="361">
        <f t="shared" si="23"/>
        <v>7</v>
      </c>
      <c r="BM27" s="362">
        <f t="shared" si="0"/>
        <v>7</v>
      </c>
      <c r="BN27" s="377">
        <v>7</v>
      </c>
      <c r="BO27" s="377">
        <f t="shared" si="24"/>
        <v>7</v>
      </c>
      <c r="BP27" s="377">
        <f t="shared" si="25"/>
        <v>7</v>
      </c>
      <c r="BQ27" s="360">
        <v>6</v>
      </c>
      <c r="BR27" s="361">
        <f t="shared" si="26"/>
        <v>6</v>
      </c>
      <c r="BS27" s="362">
        <v>6</v>
      </c>
      <c r="BT27" s="360">
        <v>6</v>
      </c>
      <c r="BU27" s="361">
        <f t="shared" si="27"/>
        <v>6</v>
      </c>
      <c r="BV27" s="361">
        <v>7</v>
      </c>
      <c r="BW27" s="362">
        <v>6</v>
      </c>
      <c r="BX27" s="369">
        <v>6</v>
      </c>
      <c r="BY27" s="361">
        <f t="shared" si="31"/>
        <v>6</v>
      </c>
      <c r="BZ27" s="361">
        <v>6</v>
      </c>
      <c r="CA27" s="362">
        <v>6</v>
      </c>
      <c r="CB27" s="378">
        <v>6</v>
      </c>
      <c r="CC27" s="379">
        <f t="shared" si="28"/>
        <v>6</v>
      </c>
      <c r="CD27" s="378">
        <v>6</v>
      </c>
      <c r="CE27" s="379">
        <f t="shared" si="29"/>
        <v>6</v>
      </c>
      <c r="CF27" s="360">
        <v>6</v>
      </c>
      <c r="CG27" s="362">
        <f t="shared" si="30"/>
        <v>6</v>
      </c>
      <c r="CH27" s="335">
        <f t="shared" si="1"/>
        <v>6.157894736842105</v>
      </c>
      <c r="CI27" s="268">
        <f t="shared" si="2"/>
        <v>6.222222222222222</v>
      </c>
      <c r="CJ27" s="307">
        <f t="shared" si="3"/>
        <v>6.204545454545454</v>
      </c>
      <c r="CK27" s="394">
        <f ca="1">SUM(COUNTIF(INDIRECT({"c27","F27","K27","O27","T27","X27","AC27","AH27","AM27","AQ27","AU27","AY27","BC27","BF27","BJ27","BN27","BQ27","BT27","BX27"}),"&gt;8"))</f>
        <v>0</v>
      </c>
      <c r="CL27" s="395">
        <f ca="1">SUM(COUNTIF(INDIRECT({"c27","F27","K27","O27","T27","X27","AC27","AH27","AM27","AQ27","AU27","AY27","BC27","BF27","BJ27","BN27","BQ27","BT27","BX27"}),"&gt;5"))-CK27</f>
        <v>16</v>
      </c>
      <c r="CM27" s="396">
        <f ca="1">SUM(COUNTIF(INDIRECT({"c27","F27","K27","O27","T27","X27","AC27","AH27","AM27","AQ27","AU27","AY27","BC27","BF27","BJ27","BN27","BQ27","BT27","BX27"}),"&gt;2"))-CL27-CK27</f>
        <v>3</v>
      </c>
      <c r="CN27" s="397">
        <f ca="1">SUM(COUNTIF(INDIRECT({"c27","F27","K27","O27","T27","X27","AC27","AH27","AM27","AQ27","AU27","AY27","BC27","BF27","BJ27","BN27","BQ27","BT27","BX27"}),"&lt;3"))-CO27</f>
        <v>0</v>
      </c>
      <c r="CO27" s="418">
        <f ca="1">SUM(COUNTIF(INDIRECT({"c27","F27","K27","O27","T27","X27","AC27","AH27","AM27","AQ27","AU27","AY27","BC27","BF27","BJ27","BN27","BQ27","BT27","BX27"}),"=0"))</f>
        <v>0</v>
      </c>
      <c r="CP27" s="390">
        <f ca="1">SUM(COUNTIF(INDIRECT({"D27","G27","L27","P27","U27","Y27","AD27","AI27","AN27","AR27","AV27","AZ27","BD27","BG27","BK27","CB27","CD27","CF27"}),"&gt;8"))</f>
        <v>0</v>
      </c>
      <c r="CQ27" s="391">
        <f ca="1">SUM(COUNTIF(INDIRECT({"D27","G27","L27","P27","U27","Y27","AD27","AI27","AN27","AR27","AV27","AZ27","BD27","BG27","BK27","CB27","CD27","CF27"}),"&gt;5"))-CP27</f>
        <v>13</v>
      </c>
      <c r="CR27" s="392">
        <f ca="1">SUM(COUNTIF(INDIRECT({"D27","G27","L27","P27","U27","Y27","AD27","AI27","AN27","AR27","AV27","AZ27","BD27","BG27","BK27","CB27","CD27","CF27"}),"&gt;2"))-CQ27-CP27</f>
        <v>5</v>
      </c>
      <c r="CS27" s="393">
        <f ca="1">SUM(COUNTIF(INDIRECT({"D27","G27","L27","P27","U27","Y27","AD27","AI27","AN27","AR27","AV27","AZ27","BD27","BG27","BK27","CB27","CD27","CF27"}),"&lt;3"))-CT27</f>
        <v>0</v>
      </c>
      <c r="CT27" s="417">
        <f ca="1">SUM(COUNTIF(INDIRECT({"D27","G27","L27","P27","U27","Y27","AD27","AI27","AN27","AR27","AV27","AZ27","BD27","BG27","BK27","CB27","CD27","CF27"}),"=0"))</f>
        <v>0</v>
      </c>
      <c r="CU27" s="390">
        <f ca="1">SUM(COUNTIF(INDIRECT({"E27","H27","M27","Q27","V27","Z27","AE27","AJ27","AO27","AS27","AW27","BA27","BE27","BH27","BL27","BO27","BR27","BU27","BY27","CC27","CE27","CG27"}),"&gt;8"))</f>
        <v>0</v>
      </c>
      <c r="CV27" s="391">
        <f ca="1">SUM(COUNTIF(INDIRECT({"E27","H27","M27","Q27","V27","Z27","AE27","AJ27","AO27","AS27","AW27","BA27","BE27","BH27","BL27","BO27","BR27","BU27","BY27","CC27","CE27","CG27"}),"&gt;5"))-CU27</f>
        <v>19</v>
      </c>
      <c r="CW27" s="392">
        <f ca="1">SUM(COUNTIF(INDIRECT({"E27","H27","M27","Q27","V27","Z27","AE27","AJ27","AO27","AS27","AW27","BA27","BE27","BH27","BL27","BO27","BR27","BU27","BY27","CC27","CE27","CG27"}),"&gt;2"))-CV27-CU27</f>
        <v>3</v>
      </c>
      <c r="CX27" s="393">
        <f ca="1">SUM(COUNTIF(INDIRECT({"E27","H27","M27","Q27","V27","Z27","AE27","AJ27","AO27","AS27","AW27","BA27","BE27","BH27","BL27","BO27","BR27","BU27","BY27","CC27","CE27","CG27"}),"&lt;3"))-CY27</f>
        <v>0</v>
      </c>
      <c r="CY27" s="438">
        <f ca="1">SUM(COUNTIF(INDIRECT({"E27","H27","M27","Q27","V27","Z27","AE27","AJ27","AO27","AS27","AW27","BA27","BE27","BH27","BL27","BO27","BR27","BU27","BY27","CC27","CE27","CG27"}),"=0"))</f>
        <v>0</v>
      </c>
      <c r="CZ27" s="5">
        <v>8</v>
      </c>
      <c r="DA27" s="5">
        <v>8</v>
      </c>
    </row>
    <row r="28" spans="1:103" s="99" customFormat="1" ht="13.5" thickBot="1">
      <c r="A28" s="100"/>
      <c r="B28" s="180" t="s">
        <v>0</v>
      </c>
      <c r="C28" s="422">
        <f aca="true" t="shared" si="33" ref="C28:J28">AVERAGE(C4:C27)</f>
        <v>7.5</v>
      </c>
      <c r="D28" s="422">
        <f t="shared" si="33"/>
        <v>6.125</v>
      </c>
      <c r="E28" s="422">
        <f t="shared" si="33"/>
        <v>6.666666666666667</v>
      </c>
      <c r="F28" s="422">
        <f t="shared" si="33"/>
        <v>4.708333333333333</v>
      </c>
      <c r="G28" s="422">
        <f t="shared" si="33"/>
        <v>5.125</v>
      </c>
      <c r="H28" s="422">
        <f t="shared" si="33"/>
        <v>4.958333333333333</v>
      </c>
      <c r="I28" s="432"/>
      <c r="J28" s="422">
        <f t="shared" si="33"/>
        <v>5.416666666666667</v>
      </c>
      <c r="K28" s="422">
        <f>AVERAGE(K4:K26)</f>
        <v>5.521739130434782</v>
      </c>
      <c r="L28" s="422">
        <f aca="true" t="shared" si="34" ref="L28:AQ28">AVERAGE(L4:L27)</f>
        <v>5.75</v>
      </c>
      <c r="M28" s="422">
        <f t="shared" si="34"/>
        <v>5.645833333333333</v>
      </c>
      <c r="N28" s="422">
        <f t="shared" si="34"/>
        <v>5.6875</v>
      </c>
      <c r="O28" s="422">
        <f t="shared" si="34"/>
        <v>5.375</v>
      </c>
      <c r="P28" s="422">
        <f t="shared" si="34"/>
        <v>5.333333333333333</v>
      </c>
      <c r="Q28" s="422">
        <f t="shared" si="34"/>
        <v>5.583333333333333</v>
      </c>
      <c r="R28" s="432"/>
      <c r="S28" s="422">
        <f t="shared" si="34"/>
        <v>5.583333333333333</v>
      </c>
      <c r="T28" s="294">
        <f t="shared" si="34"/>
        <v>6.208333333333333</v>
      </c>
      <c r="U28" s="294">
        <f t="shared" si="34"/>
        <v>6.041666666666667</v>
      </c>
      <c r="V28" s="294">
        <f t="shared" si="34"/>
        <v>6.125</v>
      </c>
      <c r="W28" s="294">
        <f t="shared" si="34"/>
        <v>6.125</v>
      </c>
      <c r="X28" s="294">
        <f t="shared" si="34"/>
        <v>5.166666666666667</v>
      </c>
      <c r="Y28" s="294">
        <f t="shared" si="34"/>
        <v>5.416666666666667</v>
      </c>
      <c r="Z28" s="294">
        <f t="shared" si="34"/>
        <v>5.3125</v>
      </c>
      <c r="AA28" s="294">
        <f t="shared" si="34"/>
        <v>5.958333333333333</v>
      </c>
      <c r="AB28" s="294">
        <f t="shared" si="34"/>
        <v>5.916666666666667</v>
      </c>
      <c r="AC28" s="294">
        <f t="shared" si="34"/>
        <v>5.75</v>
      </c>
      <c r="AD28" s="294">
        <f t="shared" si="34"/>
        <v>5.041666666666667</v>
      </c>
      <c r="AE28" s="294">
        <f t="shared" si="34"/>
        <v>5.375</v>
      </c>
      <c r="AF28" s="294">
        <f t="shared" si="34"/>
        <v>5.708333333333333</v>
      </c>
      <c r="AG28" s="294">
        <f t="shared" si="34"/>
        <v>5.916666666666667</v>
      </c>
      <c r="AH28" s="422">
        <f t="shared" si="34"/>
        <v>4.166666666666667</v>
      </c>
      <c r="AI28" s="422">
        <f t="shared" si="34"/>
        <v>4.166666666666667</v>
      </c>
      <c r="AJ28" s="422">
        <f t="shared" si="34"/>
        <v>4.166666666666667</v>
      </c>
      <c r="AK28" s="422">
        <f t="shared" si="34"/>
        <v>3.9166666666666665</v>
      </c>
      <c r="AL28" s="422">
        <f t="shared" si="34"/>
        <v>4.583333333333333</v>
      </c>
      <c r="AM28" s="294">
        <f t="shared" si="34"/>
        <v>6.375</v>
      </c>
      <c r="AN28" s="294">
        <f t="shared" si="34"/>
        <v>6</v>
      </c>
      <c r="AO28" s="294">
        <f t="shared" si="34"/>
        <v>6.1875</v>
      </c>
      <c r="AP28" s="294">
        <f t="shared" si="34"/>
        <v>6.1875</v>
      </c>
      <c r="AQ28" s="294">
        <f t="shared" si="34"/>
        <v>6.416666666666667</v>
      </c>
      <c r="AR28" s="294">
        <f aca="true" t="shared" si="35" ref="AR28:BR28">AVERAGE(AR4:AR27)</f>
        <v>6.041666666666667</v>
      </c>
      <c r="AS28" s="294">
        <f t="shared" si="35"/>
        <v>6.229166666666667</v>
      </c>
      <c r="AT28" s="294">
        <f t="shared" si="35"/>
        <v>6.229166666666667</v>
      </c>
      <c r="AU28" s="294">
        <f t="shared" si="35"/>
        <v>5.25</v>
      </c>
      <c r="AV28" s="294">
        <f t="shared" si="35"/>
        <v>5.291666666666667</v>
      </c>
      <c r="AW28" s="294">
        <f t="shared" si="35"/>
        <v>5.25</v>
      </c>
      <c r="AX28" s="294">
        <f t="shared" si="35"/>
        <v>5.25</v>
      </c>
      <c r="AY28" s="294">
        <f t="shared" si="35"/>
        <v>5.791666666666667</v>
      </c>
      <c r="AZ28" s="294">
        <f t="shared" si="35"/>
        <v>5.708333333333333</v>
      </c>
      <c r="BA28" s="294">
        <f t="shared" si="35"/>
        <v>5.75</v>
      </c>
      <c r="BB28" s="294">
        <f t="shared" si="35"/>
        <v>5.75</v>
      </c>
      <c r="BC28" s="294">
        <f t="shared" si="35"/>
        <v>4.25</v>
      </c>
      <c r="BD28" s="294">
        <f t="shared" si="35"/>
        <v>4.142857142857143</v>
      </c>
      <c r="BE28" s="294">
        <f t="shared" si="35"/>
        <v>4.071428571428571</v>
      </c>
      <c r="BF28" s="294">
        <f t="shared" si="35"/>
        <v>6.25</v>
      </c>
      <c r="BG28" s="294">
        <f t="shared" si="35"/>
        <v>6.458333333333333</v>
      </c>
      <c r="BH28" s="294">
        <f t="shared" si="35"/>
        <v>6.354166666666667</v>
      </c>
      <c r="BI28" s="294">
        <f t="shared" si="35"/>
        <v>6.354166666666667</v>
      </c>
      <c r="BJ28" s="294">
        <f t="shared" si="35"/>
        <v>5.875</v>
      </c>
      <c r="BK28" s="294">
        <f t="shared" si="35"/>
        <v>6.583333333333333</v>
      </c>
      <c r="BL28" s="294">
        <f t="shared" si="35"/>
        <v>6.229166666666667</v>
      </c>
      <c r="BM28" s="294">
        <f t="shared" si="35"/>
        <v>6.229166666666667</v>
      </c>
      <c r="BN28" s="294">
        <f t="shared" si="35"/>
        <v>7.041666666666667</v>
      </c>
      <c r="BO28" s="294">
        <f t="shared" si="35"/>
        <v>7.041666666666667</v>
      </c>
      <c r="BP28" s="294">
        <f t="shared" si="35"/>
        <v>7.041666666666667</v>
      </c>
      <c r="BQ28" s="294">
        <f t="shared" si="35"/>
        <v>5.708333333333333</v>
      </c>
      <c r="BR28" s="294">
        <f t="shared" si="35"/>
        <v>5.708333333333333</v>
      </c>
      <c r="BS28" s="294">
        <f aca="true" t="shared" si="36" ref="BS28:CJ28">AVERAGE(BS4:BS27)</f>
        <v>6.083333333333333</v>
      </c>
      <c r="BT28" s="294">
        <f t="shared" si="36"/>
        <v>5.5</v>
      </c>
      <c r="BU28" s="294">
        <f t="shared" si="36"/>
        <v>5.5</v>
      </c>
      <c r="BV28" s="294">
        <f t="shared" si="36"/>
        <v>5.458333333333333</v>
      </c>
      <c r="BW28" s="294">
        <f t="shared" si="36"/>
        <v>5.458333333333333</v>
      </c>
      <c r="BX28" s="294">
        <f t="shared" si="36"/>
        <v>5.458333333333333</v>
      </c>
      <c r="BY28" s="294">
        <f t="shared" si="36"/>
        <v>5.458333333333333</v>
      </c>
      <c r="BZ28" s="294">
        <f t="shared" si="36"/>
        <v>5.541666666666667</v>
      </c>
      <c r="CA28" s="294">
        <f t="shared" si="36"/>
        <v>5.541666666666667</v>
      </c>
      <c r="CB28" s="294">
        <f t="shared" si="36"/>
        <v>5.083333333333333</v>
      </c>
      <c r="CC28" s="294">
        <f t="shared" si="36"/>
        <v>5.083333333333333</v>
      </c>
      <c r="CD28" s="294">
        <f t="shared" si="36"/>
        <v>5.5</v>
      </c>
      <c r="CE28" s="294">
        <f t="shared" si="36"/>
        <v>5.5</v>
      </c>
      <c r="CF28" s="422">
        <f t="shared" si="36"/>
        <v>5.208333333333333</v>
      </c>
      <c r="CG28" s="422">
        <f t="shared" si="36"/>
        <v>5.208333333333333</v>
      </c>
      <c r="CH28" s="294">
        <f t="shared" si="36"/>
        <v>5.716008771929825</v>
      </c>
      <c r="CI28" s="294">
        <f t="shared" si="36"/>
        <v>5.516884531590414</v>
      </c>
      <c r="CJ28" s="308">
        <f t="shared" si="36"/>
        <v>5.623060966810968</v>
      </c>
      <c r="CK28" s="398">
        <f aca="true" t="shared" si="37" ref="CK28:CY28">SUM(CK4:CK27)</f>
        <v>12</v>
      </c>
      <c r="CL28" s="399">
        <f t="shared" si="37"/>
        <v>249</v>
      </c>
      <c r="CM28" s="400">
        <f t="shared" si="37"/>
        <v>176</v>
      </c>
      <c r="CN28" s="401">
        <f t="shared" si="37"/>
        <v>15</v>
      </c>
      <c r="CO28" s="419">
        <f t="shared" si="37"/>
        <v>0</v>
      </c>
      <c r="CP28" s="402">
        <f t="shared" si="37"/>
        <v>9</v>
      </c>
      <c r="CQ28" s="403">
        <f t="shared" si="37"/>
        <v>211</v>
      </c>
      <c r="CR28" s="404">
        <f t="shared" si="37"/>
        <v>192</v>
      </c>
      <c r="CS28" s="405">
        <f t="shared" si="37"/>
        <v>15</v>
      </c>
      <c r="CT28" s="420">
        <f t="shared" si="37"/>
        <v>2</v>
      </c>
      <c r="CU28" s="398">
        <f t="shared" si="37"/>
        <v>10</v>
      </c>
      <c r="CV28" s="399">
        <f t="shared" si="37"/>
        <v>300</v>
      </c>
      <c r="CW28" s="400">
        <f t="shared" si="37"/>
        <v>201</v>
      </c>
      <c r="CX28" s="401">
        <f t="shared" si="37"/>
        <v>13</v>
      </c>
      <c r="CY28" s="385">
        <f t="shared" si="37"/>
        <v>2</v>
      </c>
    </row>
    <row r="29" spans="89:103" ht="13.5" thickBot="1">
      <c r="CK29" s="407">
        <f>CK28/(19*24-4)</f>
        <v>0.02654867256637168</v>
      </c>
      <c r="CL29" s="408">
        <f>CL28/(19*24-4)</f>
        <v>0.5508849557522124</v>
      </c>
      <c r="CM29" s="409">
        <f>CM28/(19*24-4)</f>
        <v>0.3893805309734513</v>
      </c>
      <c r="CN29" s="410">
        <f>CN28/(19*24-4)</f>
        <v>0.033185840707964605</v>
      </c>
      <c r="CO29" s="415">
        <f>CO28/(19*24-4)</f>
        <v>0</v>
      </c>
      <c r="CP29" s="407">
        <f>CP28/(18*24-3)</f>
        <v>0.02097902097902098</v>
      </c>
      <c r="CQ29" s="407">
        <f>CQ28/(18*24-3)</f>
        <v>0.49184149184149184</v>
      </c>
      <c r="CR29" s="407">
        <f>CR28/(18*24-3)</f>
        <v>0.44755244755244755</v>
      </c>
      <c r="CS29" s="407">
        <f>CS28/(18*24-3)</f>
        <v>0.03496503496503497</v>
      </c>
      <c r="CT29" s="407">
        <f>CT28/(18*24-3)</f>
        <v>0.004662004662004662</v>
      </c>
      <c r="CU29" s="421">
        <f>CU28/(22*24-3)</f>
        <v>0.01904761904761905</v>
      </c>
      <c r="CV29" s="421">
        <f>CV28/(22*24-3)</f>
        <v>0.5714285714285714</v>
      </c>
      <c r="CW29" s="421">
        <f>CW28/(22*24-3)</f>
        <v>0.38285714285714284</v>
      </c>
      <c r="CX29" s="421">
        <f>CX28/(22*24-3)</f>
        <v>0.024761904761904763</v>
      </c>
      <c r="CY29" s="431">
        <f>CY28/(22*24-3)</f>
        <v>0.0038095238095238095</v>
      </c>
    </row>
    <row r="30" spans="2:25" ht="12.75">
      <c r="B30" s="99" t="s">
        <v>354</v>
      </c>
      <c r="J30" s="482" t="s">
        <v>384</v>
      </c>
      <c r="K30" s="482"/>
      <c r="L30" s="482"/>
      <c r="M30" s="482"/>
      <c r="V30" s="482" t="s">
        <v>385</v>
      </c>
      <c r="W30" s="482"/>
      <c r="X30" s="482"/>
      <c r="Y30" s="482"/>
    </row>
    <row r="31" spans="2:32" ht="12.75">
      <c r="B31" s="380" t="s">
        <v>355</v>
      </c>
      <c r="C31" s="475" t="s">
        <v>356</v>
      </c>
      <c r="D31" s="475"/>
      <c r="E31" s="475"/>
      <c r="F31" s="475"/>
      <c r="G31" s="477" t="s">
        <v>357</v>
      </c>
      <c r="H31" s="477"/>
      <c r="J31" s="483" t="s">
        <v>355</v>
      </c>
      <c r="K31" s="483"/>
      <c r="L31" s="483"/>
      <c r="M31" s="483"/>
      <c r="N31" s="483"/>
      <c r="O31" s="458" t="s">
        <v>356</v>
      </c>
      <c r="P31" s="458"/>
      <c r="Q31" s="458"/>
      <c r="R31" s="458"/>
      <c r="S31" s="475" t="s">
        <v>357</v>
      </c>
      <c r="T31" s="475"/>
      <c r="V31" s="483" t="s">
        <v>355</v>
      </c>
      <c r="W31" s="483"/>
      <c r="X31" s="483"/>
      <c r="Y31" s="483"/>
      <c r="Z31" s="483"/>
      <c r="AA31" s="458" t="s">
        <v>356</v>
      </c>
      <c r="AB31" s="458"/>
      <c r="AC31" s="458"/>
      <c r="AD31" s="458"/>
      <c r="AE31" s="475" t="s">
        <v>357</v>
      </c>
      <c r="AF31" s="475"/>
    </row>
    <row r="32" spans="2:32" ht="12.75">
      <c r="B32" s="319" t="str">
        <f>B5</f>
        <v>Бобнис Каролина</v>
      </c>
      <c r="C32" s="476" t="str">
        <f>B4</f>
        <v>Банцевич Вероника</v>
      </c>
      <c r="D32" s="476"/>
      <c r="E32" s="476"/>
      <c r="F32" s="476"/>
      <c r="G32" s="476"/>
      <c r="H32" s="322">
        <v>2</v>
      </c>
      <c r="J32" s="483" t="s">
        <v>399</v>
      </c>
      <c r="K32" s="483"/>
      <c r="L32" s="483"/>
      <c r="M32" s="483"/>
      <c r="N32" s="483"/>
      <c r="O32" s="458" t="str">
        <f>B15</f>
        <v>Орловская Мария</v>
      </c>
      <c r="P32" s="458"/>
      <c r="Q32" s="458"/>
      <c r="R32" s="458"/>
      <c r="S32" s="459">
        <v>4</v>
      </c>
      <c r="T32" s="460"/>
      <c r="V32" s="483" t="str">
        <f>B5</f>
        <v>Бобнис Каролина</v>
      </c>
      <c r="W32" s="483"/>
      <c r="X32" s="483"/>
      <c r="Y32" s="483"/>
      <c r="Z32" s="483"/>
      <c r="AA32" s="458" t="str">
        <f>O32</f>
        <v>Орловская Мария</v>
      </c>
      <c r="AB32" s="458"/>
      <c r="AC32" s="458"/>
      <c r="AD32" s="458"/>
      <c r="AE32" s="475">
        <v>4</v>
      </c>
      <c r="AF32" s="475"/>
    </row>
    <row r="33" spans="2:32" ht="12.75">
      <c r="B33" s="320" t="str">
        <f>B10</f>
        <v>Клепацкий Андрей</v>
      </c>
      <c r="C33" s="458" t="str">
        <f>B6</f>
        <v>Витукевич Карина</v>
      </c>
      <c r="D33" s="458"/>
      <c r="E33" s="458"/>
      <c r="F33" s="458"/>
      <c r="G33" s="458"/>
      <c r="H33" s="321">
        <v>2</v>
      </c>
      <c r="O33" s="458" t="str">
        <f>B26</f>
        <v>Цуба Николай</v>
      </c>
      <c r="P33" s="458"/>
      <c r="Q33" s="458"/>
      <c r="R33" s="458"/>
      <c r="S33" s="459">
        <v>2</v>
      </c>
      <c r="T33" s="460"/>
      <c r="V33" s="483" t="str">
        <f>B18</f>
        <v>Пекша Роман</v>
      </c>
      <c r="W33" s="483"/>
      <c r="X33" s="483"/>
      <c r="Y33" s="483"/>
      <c r="Z33" s="483"/>
      <c r="AA33" s="458" t="str">
        <f>O33</f>
        <v>Цуба Николай</v>
      </c>
      <c r="AB33" s="458"/>
      <c r="AC33" s="458"/>
      <c r="AD33" s="458"/>
      <c r="AE33" s="475">
        <v>2</v>
      </c>
      <c r="AF33" s="475"/>
    </row>
    <row r="34" spans="2:32" ht="12.75">
      <c r="B34" s="320" t="str">
        <f>B11</f>
        <v>Козлова Ангелина</v>
      </c>
      <c r="C34" s="458" t="str">
        <f>B14</f>
        <v>Миклис Ксения</v>
      </c>
      <c r="D34" s="458"/>
      <c r="E34" s="458"/>
      <c r="F34" s="458"/>
      <c r="G34" s="458"/>
      <c r="H34" s="321">
        <v>1</v>
      </c>
      <c r="O34" s="458" t="str">
        <f>B4</f>
        <v>Банцевич Вероника</v>
      </c>
      <c r="P34" s="458"/>
      <c r="Q34" s="458"/>
      <c r="R34" s="458"/>
      <c r="S34" s="459">
        <v>1</v>
      </c>
      <c r="T34" s="460"/>
      <c r="AA34" s="458" t="str">
        <f>O34</f>
        <v>Банцевич Вероника</v>
      </c>
      <c r="AB34" s="458"/>
      <c r="AC34" s="458"/>
      <c r="AD34" s="458"/>
      <c r="AE34" s="475">
        <v>1</v>
      </c>
      <c r="AF34" s="475"/>
    </row>
    <row r="35" spans="2:32" ht="12.75">
      <c r="B35" s="320" t="str">
        <f>B18</f>
        <v>Пекша Роман</v>
      </c>
      <c r="C35" s="458" t="str">
        <f>B16</f>
        <v>Пархоменко Русалина</v>
      </c>
      <c r="D35" s="458"/>
      <c r="E35" s="458"/>
      <c r="F35" s="458"/>
      <c r="G35" s="458"/>
      <c r="H35" s="321">
        <v>1</v>
      </c>
      <c r="O35" s="458" t="str">
        <f>B6</f>
        <v>Витукевич Карина</v>
      </c>
      <c r="P35" s="458"/>
      <c r="Q35" s="458"/>
      <c r="R35" s="458"/>
      <c r="S35" s="459">
        <v>1</v>
      </c>
      <c r="T35" s="460"/>
      <c r="AA35" s="458" t="str">
        <f>O35</f>
        <v>Витукевич Карина</v>
      </c>
      <c r="AB35" s="458"/>
      <c r="AC35" s="458"/>
      <c r="AD35" s="458"/>
      <c r="AE35" s="475">
        <v>1</v>
      </c>
      <c r="AF35" s="475"/>
    </row>
    <row r="36" spans="3:32" ht="12.75">
      <c r="C36" s="458" t="str">
        <f>B21</f>
        <v>Сушко Маргарита</v>
      </c>
      <c r="D36" s="458"/>
      <c r="E36" s="458"/>
      <c r="F36" s="458"/>
      <c r="G36" s="458"/>
      <c r="H36" s="321">
        <v>1</v>
      </c>
      <c r="O36" s="458" t="str">
        <f>B7</f>
        <v>Журба Валерия</v>
      </c>
      <c r="P36" s="458"/>
      <c r="Q36" s="458"/>
      <c r="R36" s="458"/>
      <c r="S36" s="459">
        <v>1</v>
      </c>
      <c r="T36" s="460"/>
      <c r="AA36" s="458" t="str">
        <f>O36</f>
        <v>Журба Валерия</v>
      </c>
      <c r="AB36" s="458"/>
      <c r="AC36" s="458"/>
      <c r="AD36" s="458"/>
      <c r="AE36" s="475">
        <v>1</v>
      </c>
      <c r="AF36" s="475"/>
    </row>
    <row r="37" spans="3:32" ht="12.75">
      <c r="C37" s="458" t="str">
        <f>B23</f>
        <v>Унгур Анна</v>
      </c>
      <c r="D37" s="458"/>
      <c r="E37" s="458"/>
      <c r="F37" s="458"/>
      <c r="G37" s="458"/>
      <c r="H37" s="321">
        <v>1</v>
      </c>
      <c r="O37" s="458" t="str">
        <f>B12</f>
        <v>Коледа Татьяна</v>
      </c>
      <c r="P37" s="458"/>
      <c r="Q37" s="458"/>
      <c r="R37" s="458"/>
      <c r="S37" s="459">
        <v>1</v>
      </c>
      <c r="T37" s="460"/>
      <c r="AA37" s="458" t="str">
        <f>O38</f>
        <v>Миклис Ксения</v>
      </c>
      <c r="AB37" s="458"/>
      <c r="AC37" s="458"/>
      <c r="AD37" s="458"/>
      <c r="AE37" s="475">
        <v>1</v>
      </c>
      <c r="AF37" s="475"/>
    </row>
    <row r="38" spans="3:32" ht="12.75">
      <c r="C38" s="458" t="str">
        <f>B25</f>
        <v>Ушко Яна</v>
      </c>
      <c r="D38" s="458"/>
      <c r="E38" s="458"/>
      <c r="F38" s="458"/>
      <c r="G38" s="458"/>
      <c r="H38" s="321">
        <v>1</v>
      </c>
      <c r="O38" s="458" t="str">
        <f>B14</f>
        <v>Миклис Ксения</v>
      </c>
      <c r="P38" s="458"/>
      <c r="Q38" s="458"/>
      <c r="R38" s="458"/>
      <c r="S38" s="459">
        <v>1</v>
      </c>
      <c r="T38" s="460"/>
      <c r="AA38" s="458" t="str">
        <f>O39</f>
        <v>Пархоменко Русалина</v>
      </c>
      <c r="AB38" s="458"/>
      <c r="AC38" s="458"/>
      <c r="AD38" s="458"/>
      <c r="AE38" s="475">
        <v>1</v>
      </c>
      <c r="AF38" s="475"/>
    </row>
    <row r="39" spans="3:32" ht="12.75">
      <c r="C39" s="458" t="str">
        <f>B26</f>
        <v>Цуба Николай</v>
      </c>
      <c r="D39" s="458"/>
      <c r="E39" s="458"/>
      <c r="F39" s="458"/>
      <c r="G39" s="458"/>
      <c r="H39" s="321">
        <v>3</v>
      </c>
      <c r="O39" s="458" t="str">
        <f>B16</f>
        <v>Пархоменко Русалина</v>
      </c>
      <c r="P39" s="458"/>
      <c r="Q39" s="458"/>
      <c r="R39" s="458"/>
      <c r="S39" s="459">
        <v>1</v>
      </c>
      <c r="T39" s="460"/>
      <c r="AA39" s="458" t="str">
        <f>O40</f>
        <v>Сушко Маргарита</v>
      </c>
      <c r="AB39" s="458"/>
      <c r="AC39" s="458"/>
      <c r="AD39" s="458"/>
      <c r="AE39" s="475">
        <v>1</v>
      </c>
      <c r="AF39" s="475"/>
    </row>
    <row r="40" spans="3:32" ht="12.75">
      <c r="C40" s="458" t="str">
        <f>B15</f>
        <v>Орловская Мария</v>
      </c>
      <c r="D40" s="458"/>
      <c r="E40" s="458"/>
      <c r="F40" s="458"/>
      <c r="G40" s="458"/>
      <c r="H40" s="321">
        <v>2</v>
      </c>
      <c r="O40" s="458" t="str">
        <f>B21</f>
        <v>Сушко Маргарита</v>
      </c>
      <c r="P40" s="458"/>
      <c r="Q40" s="458"/>
      <c r="R40" s="458"/>
      <c r="S40" s="459">
        <v>1</v>
      </c>
      <c r="T40" s="460"/>
      <c r="AA40" s="458" t="str">
        <f>O41</f>
        <v>Унгур Анна</v>
      </c>
      <c r="AB40" s="458"/>
      <c r="AC40" s="458"/>
      <c r="AD40" s="458"/>
      <c r="AE40" s="475">
        <v>1</v>
      </c>
      <c r="AF40" s="475"/>
    </row>
    <row r="41" spans="3:32" ht="12.75">
      <c r="C41" s="458" t="str">
        <f>B7</f>
        <v>Журба Валерия</v>
      </c>
      <c r="D41" s="458"/>
      <c r="E41" s="458"/>
      <c r="F41" s="458"/>
      <c r="G41" s="458"/>
      <c r="H41" s="321">
        <v>1</v>
      </c>
      <c r="O41" s="458" t="str">
        <f>B23</f>
        <v>Унгур Анна</v>
      </c>
      <c r="P41" s="458"/>
      <c r="Q41" s="458"/>
      <c r="R41" s="458"/>
      <c r="S41" s="459">
        <v>1</v>
      </c>
      <c r="T41" s="460"/>
      <c r="AA41" s="461" t="s">
        <v>400</v>
      </c>
      <c r="AB41" s="461"/>
      <c r="AC41" s="461"/>
      <c r="AD41" s="461"/>
      <c r="AE41" s="462" t="s">
        <v>357</v>
      </c>
      <c r="AF41" s="463"/>
    </row>
    <row r="42" spans="15:32" ht="12.75">
      <c r="O42" s="458" t="str">
        <f>B24</f>
        <v>Ушакова Маргарита</v>
      </c>
      <c r="P42" s="458"/>
      <c r="Q42" s="458"/>
      <c r="R42" s="458"/>
      <c r="S42" s="459">
        <v>1</v>
      </c>
      <c r="T42" s="460"/>
      <c r="AA42" s="458" t="str">
        <f>O44</f>
        <v>Орловская Мария</v>
      </c>
      <c r="AB42" s="458"/>
      <c r="AC42" s="458"/>
      <c r="AD42" s="458"/>
      <c r="AE42" s="475">
        <v>2</v>
      </c>
      <c r="AF42" s="475"/>
    </row>
    <row r="43" spans="15:20" ht="12.75">
      <c r="O43" s="461" t="s">
        <v>400</v>
      </c>
      <c r="P43" s="461"/>
      <c r="Q43" s="461"/>
      <c r="R43" s="461"/>
      <c r="S43" s="462" t="s">
        <v>357</v>
      </c>
      <c r="T43" s="463"/>
    </row>
    <row r="44" spans="15:20" ht="12.75">
      <c r="O44" s="458" t="str">
        <f>O32</f>
        <v>Орловская Мария</v>
      </c>
      <c r="P44" s="458"/>
      <c r="Q44" s="458"/>
      <c r="R44" s="458"/>
      <c r="S44" s="459">
        <v>2</v>
      </c>
      <c r="T44" s="460"/>
    </row>
  </sheetData>
  <sheetProtection/>
  <mergeCells count="98">
    <mergeCell ref="CZ2:DA2"/>
    <mergeCell ref="AA42:AD42"/>
    <mergeCell ref="AE42:AF42"/>
    <mergeCell ref="AA39:AD39"/>
    <mergeCell ref="AE39:AF39"/>
    <mergeCell ref="AA40:AD40"/>
    <mergeCell ref="AE40:AF40"/>
    <mergeCell ref="AA41:AD41"/>
    <mergeCell ref="AE41:AF41"/>
    <mergeCell ref="AA36:AD36"/>
    <mergeCell ref="AE36:AF36"/>
    <mergeCell ref="AA37:AD37"/>
    <mergeCell ref="AE37:AF37"/>
    <mergeCell ref="AA38:AD38"/>
    <mergeCell ref="AE38:AF38"/>
    <mergeCell ref="V33:Z33"/>
    <mergeCell ref="AA33:AD33"/>
    <mergeCell ref="AE33:AF33"/>
    <mergeCell ref="AA34:AD34"/>
    <mergeCell ref="AE34:AF34"/>
    <mergeCell ref="AA35:AD35"/>
    <mergeCell ref="AE35:AF35"/>
    <mergeCell ref="J30:M30"/>
    <mergeCell ref="J31:N31"/>
    <mergeCell ref="O31:R31"/>
    <mergeCell ref="S31:T31"/>
    <mergeCell ref="J32:N32"/>
    <mergeCell ref="O32:R32"/>
    <mergeCell ref="S32:T32"/>
    <mergeCell ref="V30:Y30"/>
    <mergeCell ref="V31:Z31"/>
    <mergeCell ref="AA31:AD31"/>
    <mergeCell ref="AE31:AF31"/>
    <mergeCell ref="V32:Z32"/>
    <mergeCell ref="AA32:AD32"/>
    <mergeCell ref="AE32:AF32"/>
    <mergeCell ref="T2:W2"/>
    <mergeCell ref="AQ2:AT2"/>
    <mergeCell ref="AY2:BB2"/>
    <mergeCell ref="BF2:BI2"/>
    <mergeCell ref="CD2:CE2"/>
    <mergeCell ref="BT2:BW2"/>
    <mergeCell ref="X2:AB2"/>
    <mergeCell ref="BQ2:BS2"/>
    <mergeCell ref="BC2:BE2"/>
    <mergeCell ref="C2:E2"/>
    <mergeCell ref="F2:J2"/>
    <mergeCell ref="CF2:CG2"/>
    <mergeCell ref="CU2:CY2"/>
    <mergeCell ref="C31:F31"/>
    <mergeCell ref="C32:G32"/>
    <mergeCell ref="G31:H31"/>
    <mergeCell ref="BJ2:BM2"/>
    <mergeCell ref="O2:S2"/>
    <mergeCell ref="K2:N2"/>
    <mergeCell ref="CP2:CT2"/>
    <mergeCell ref="CB2:CC2"/>
    <mergeCell ref="AC2:AG2"/>
    <mergeCell ref="AH2:AL2"/>
    <mergeCell ref="AM2:AP2"/>
    <mergeCell ref="BN2:BP2"/>
    <mergeCell ref="BX2:CA2"/>
    <mergeCell ref="CK2:CO2"/>
    <mergeCell ref="CH2:CJ2"/>
    <mergeCell ref="C35:G35"/>
    <mergeCell ref="AU2:AX2"/>
    <mergeCell ref="C41:G41"/>
    <mergeCell ref="C40:G40"/>
    <mergeCell ref="C38:G38"/>
    <mergeCell ref="C39:G39"/>
    <mergeCell ref="C33:G33"/>
    <mergeCell ref="C34:G34"/>
    <mergeCell ref="C36:G36"/>
    <mergeCell ref="C37:G37"/>
    <mergeCell ref="O33:R33"/>
    <mergeCell ref="S33:T33"/>
    <mergeCell ref="O34:R34"/>
    <mergeCell ref="S34:T34"/>
    <mergeCell ref="O35:R35"/>
    <mergeCell ref="S35:T35"/>
    <mergeCell ref="O36:R36"/>
    <mergeCell ref="S36:T36"/>
    <mergeCell ref="O37:R37"/>
    <mergeCell ref="S37:T37"/>
    <mergeCell ref="O38:R38"/>
    <mergeCell ref="S38:T38"/>
    <mergeCell ref="O39:R39"/>
    <mergeCell ref="S39:T39"/>
    <mergeCell ref="O40:R40"/>
    <mergeCell ref="S40:T40"/>
    <mergeCell ref="O41:R41"/>
    <mergeCell ref="S41:T41"/>
    <mergeCell ref="O42:R42"/>
    <mergeCell ref="S42:T42"/>
    <mergeCell ref="O43:R43"/>
    <mergeCell ref="S43:T43"/>
    <mergeCell ref="O44:R44"/>
    <mergeCell ref="S44:T44"/>
  </mergeCells>
  <conditionalFormatting sqref="C4:C27 F4:F27 K4:K27 O4:O27 T4:T27 X4:X27 AC4:AC27 AH4:AH27 AM4:AM27 AQ4:AQ27 AU4:AU27 AY4:AY27 BF4:BF27 BJ4:BJ27 BN4:CA27 BC4:BC27 BD5:BE5 BD8:BE8 BD10:BE10 CH4:CJ27 D28:H28 J28:Q28 S28:AG28">
    <cfRule type="cellIs" priority="131" dxfId="1" operator="lessThan" stopIfTrue="1">
      <formula>2.5</formula>
    </cfRule>
    <cfRule type="cellIs" priority="132" dxfId="0" operator="greaterThanOrEqual" stopIfTrue="1">
      <formula>5.5</formula>
    </cfRule>
  </conditionalFormatting>
  <conditionalFormatting sqref="CH28:CJ28">
    <cfRule type="cellIs" priority="127" dxfId="1" operator="lessThan" stopIfTrue="1">
      <formula>2.5</formula>
    </cfRule>
    <cfRule type="cellIs" priority="128" dxfId="0" operator="greaterThanOrEqual" stopIfTrue="1">
      <formula>5.5</formula>
    </cfRule>
  </conditionalFormatting>
  <conditionalFormatting sqref="U4:W27">
    <cfRule type="cellIs" priority="83" dxfId="1" operator="lessThan" stopIfTrue="1">
      <formula>2.5</formula>
    </cfRule>
    <cfRule type="cellIs" priority="84" dxfId="0" operator="greaterThanOrEqual" stopIfTrue="1">
      <formula>5.5</formula>
    </cfRule>
  </conditionalFormatting>
  <conditionalFormatting sqref="Y4:AB27">
    <cfRule type="cellIs" priority="81" dxfId="1" operator="lessThan" stopIfTrue="1">
      <formula>2.5</formula>
    </cfRule>
    <cfRule type="cellIs" priority="82" dxfId="0" operator="greaterThanOrEqual" stopIfTrue="1">
      <formula>5.5</formula>
    </cfRule>
  </conditionalFormatting>
  <conditionalFormatting sqref="AD4:AE27">
    <cfRule type="cellIs" priority="79" dxfId="1" operator="lessThan" stopIfTrue="1">
      <formula>2.5</formula>
    </cfRule>
    <cfRule type="cellIs" priority="80" dxfId="0" operator="greaterThanOrEqual" stopIfTrue="1">
      <formula>5.5</formula>
    </cfRule>
  </conditionalFormatting>
  <conditionalFormatting sqref="AI4:AJ27">
    <cfRule type="cellIs" priority="77" dxfId="1" operator="lessThan" stopIfTrue="1">
      <formula>2.5</formula>
    </cfRule>
    <cfRule type="cellIs" priority="78" dxfId="0" operator="greaterThanOrEqual" stopIfTrue="1">
      <formula>5.5</formula>
    </cfRule>
  </conditionalFormatting>
  <conditionalFormatting sqref="BM4:BM27">
    <cfRule type="cellIs" priority="35" dxfId="1" operator="lessThan" stopIfTrue="1">
      <formula>2.5</formula>
    </cfRule>
    <cfRule type="cellIs" priority="36" dxfId="0" operator="greaterThanOrEqual" stopIfTrue="1">
      <formula>5.5</formula>
    </cfRule>
  </conditionalFormatting>
  <conditionalFormatting sqref="BK4:BK27">
    <cfRule type="cellIs" priority="33" dxfId="1" operator="lessThan" stopIfTrue="1">
      <formula>2.5</formula>
    </cfRule>
    <cfRule type="cellIs" priority="34" dxfId="0" operator="greaterThanOrEqual" stopIfTrue="1">
      <formula>5.5</formula>
    </cfRule>
  </conditionalFormatting>
  <conditionalFormatting sqref="AN4:AP27">
    <cfRule type="cellIs" priority="71" dxfId="1" operator="lessThan" stopIfTrue="1">
      <formula>2.5</formula>
    </cfRule>
    <cfRule type="cellIs" priority="72" dxfId="0" operator="greaterThanOrEqual" stopIfTrue="1">
      <formula>5.5</formula>
    </cfRule>
  </conditionalFormatting>
  <conditionalFormatting sqref="CB4:CC27">
    <cfRule type="cellIs" priority="31" dxfId="1" operator="lessThan" stopIfTrue="1">
      <formula>2.5</formula>
    </cfRule>
    <cfRule type="cellIs" priority="32" dxfId="0" operator="greaterThanOrEqual" stopIfTrue="1">
      <formula>5.5</formula>
    </cfRule>
  </conditionalFormatting>
  <conditionalFormatting sqref="AR4:AT27">
    <cfRule type="cellIs" priority="67" dxfId="1" operator="lessThan" stopIfTrue="1">
      <formula>2.5</formula>
    </cfRule>
    <cfRule type="cellIs" priority="68" dxfId="0" operator="greaterThanOrEqual" stopIfTrue="1">
      <formula>5.5</formula>
    </cfRule>
  </conditionalFormatting>
  <conditionalFormatting sqref="AW4:AW27">
    <cfRule type="cellIs" priority="65" dxfId="1" operator="lessThan" stopIfTrue="1">
      <formula>2.5</formula>
    </cfRule>
    <cfRule type="cellIs" priority="66" dxfId="0" operator="greaterThanOrEqual" stopIfTrue="1">
      <formula>5.5</formula>
    </cfRule>
  </conditionalFormatting>
  <conditionalFormatting sqref="AX4:AX27">
    <cfRule type="cellIs" priority="63" dxfId="1" operator="lessThan" stopIfTrue="1">
      <formula>2.5</formula>
    </cfRule>
    <cfRule type="cellIs" priority="64" dxfId="0" operator="greaterThanOrEqual" stopIfTrue="1">
      <formula>5.5</formula>
    </cfRule>
  </conditionalFormatting>
  <conditionalFormatting sqref="AV4:AV27">
    <cfRule type="cellIs" priority="61" dxfId="1" operator="lessThan" stopIfTrue="1">
      <formula>2.5</formula>
    </cfRule>
    <cfRule type="cellIs" priority="62" dxfId="0" operator="greaterThanOrEqual" stopIfTrue="1">
      <formula>5.5</formula>
    </cfRule>
  </conditionalFormatting>
  <conditionalFormatting sqref="BA4:BA27">
    <cfRule type="cellIs" priority="59" dxfId="1" operator="lessThan" stopIfTrue="1">
      <formula>2.5</formula>
    </cfRule>
    <cfRule type="cellIs" priority="60" dxfId="0" operator="greaterThanOrEqual" stopIfTrue="1">
      <formula>5.5</formula>
    </cfRule>
  </conditionalFormatting>
  <conditionalFormatting sqref="BB4:BB27">
    <cfRule type="cellIs" priority="57" dxfId="1" operator="lessThan" stopIfTrue="1">
      <formula>2.5</formula>
    </cfRule>
    <cfRule type="cellIs" priority="58" dxfId="0" operator="greaterThanOrEqual" stopIfTrue="1">
      <formula>5.5</formula>
    </cfRule>
  </conditionalFormatting>
  <conditionalFormatting sqref="AZ4:AZ27">
    <cfRule type="cellIs" priority="55" dxfId="1" operator="lessThan" stopIfTrue="1">
      <formula>2.5</formula>
    </cfRule>
    <cfRule type="cellIs" priority="56" dxfId="0" operator="greaterThanOrEqual" stopIfTrue="1">
      <formula>5.5</formula>
    </cfRule>
  </conditionalFormatting>
  <conditionalFormatting sqref="BE4 BE6:BE7 BE9 BE11:BE27">
    <cfRule type="cellIs" priority="53" dxfId="1" operator="lessThan" stopIfTrue="1">
      <formula>2.5</formula>
    </cfRule>
    <cfRule type="cellIs" priority="54" dxfId="0" operator="greaterThanOrEqual" stopIfTrue="1">
      <formula>5.5</formula>
    </cfRule>
  </conditionalFormatting>
  <conditionalFormatting sqref="BD4">
    <cfRule type="cellIs" priority="51" dxfId="1" operator="lessThan" stopIfTrue="1">
      <formula>2.5</formula>
    </cfRule>
    <cfRule type="cellIs" priority="52" dxfId="0" operator="greaterThanOrEqual" stopIfTrue="1">
      <formula>5.5</formula>
    </cfRule>
  </conditionalFormatting>
  <conditionalFormatting sqref="BD6:BD7">
    <cfRule type="cellIs" priority="49" dxfId="1" operator="lessThan" stopIfTrue="1">
      <formula>2.5</formula>
    </cfRule>
    <cfRule type="cellIs" priority="50" dxfId="0" operator="greaterThanOrEqual" stopIfTrue="1">
      <formula>5.5</formula>
    </cfRule>
  </conditionalFormatting>
  <conditionalFormatting sqref="BD9">
    <cfRule type="cellIs" priority="47" dxfId="1" operator="lessThan" stopIfTrue="1">
      <formula>2.5</formula>
    </cfRule>
    <cfRule type="cellIs" priority="48" dxfId="0" operator="greaterThanOrEqual" stopIfTrue="1">
      <formula>5.5</formula>
    </cfRule>
  </conditionalFormatting>
  <conditionalFormatting sqref="BD11:BD27">
    <cfRule type="cellIs" priority="45" dxfId="1" operator="lessThan" stopIfTrue="1">
      <formula>2.5</formula>
    </cfRule>
    <cfRule type="cellIs" priority="46" dxfId="0" operator="greaterThanOrEqual" stopIfTrue="1">
      <formula>5.5</formula>
    </cfRule>
  </conditionalFormatting>
  <conditionalFormatting sqref="BH4:BH27">
    <cfRule type="cellIs" priority="43" dxfId="1" operator="lessThan" stopIfTrue="1">
      <formula>2.5</formula>
    </cfRule>
    <cfRule type="cellIs" priority="44" dxfId="0" operator="greaterThanOrEqual" stopIfTrue="1">
      <formula>5.5</formula>
    </cfRule>
  </conditionalFormatting>
  <conditionalFormatting sqref="BI4:BI27">
    <cfRule type="cellIs" priority="41" dxfId="1" operator="lessThan" stopIfTrue="1">
      <formula>2.5</formula>
    </cfRule>
    <cfRule type="cellIs" priority="42" dxfId="0" operator="greaterThanOrEqual" stopIfTrue="1">
      <formula>5.5</formula>
    </cfRule>
  </conditionalFormatting>
  <conditionalFormatting sqref="BG4:BG27">
    <cfRule type="cellIs" priority="39" dxfId="1" operator="lessThan" stopIfTrue="1">
      <formula>2.5</formula>
    </cfRule>
    <cfRule type="cellIs" priority="40" dxfId="0" operator="greaterThanOrEqual" stopIfTrue="1">
      <formula>5.5</formula>
    </cfRule>
  </conditionalFormatting>
  <conditionalFormatting sqref="BL4:BL27">
    <cfRule type="cellIs" priority="37" dxfId="1" operator="lessThan" stopIfTrue="1">
      <formula>2.5</formula>
    </cfRule>
    <cfRule type="cellIs" priority="38" dxfId="0" operator="greaterThanOrEqual" stopIfTrue="1">
      <formula>5.5</formula>
    </cfRule>
  </conditionalFormatting>
  <conditionalFormatting sqref="BG28:BU28">
    <cfRule type="cellIs" priority="21" dxfId="1" operator="lessThan" stopIfTrue="1">
      <formula>2.5</formula>
    </cfRule>
    <cfRule type="cellIs" priority="22" dxfId="0" operator="greaterThanOrEqual" stopIfTrue="1">
      <formula>5.5</formula>
    </cfRule>
  </conditionalFormatting>
  <conditionalFormatting sqref="BV28:CG28">
    <cfRule type="cellIs" priority="19" dxfId="1" operator="lessThan" stopIfTrue="1">
      <formula>2.5</formula>
    </cfRule>
    <cfRule type="cellIs" priority="20" dxfId="0" operator="greaterThanOrEqual" stopIfTrue="1">
      <formula>5.5</formula>
    </cfRule>
  </conditionalFormatting>
  <conditionalFormatting sqref="CD4:CE27">
    <cfRule type="cellIs" priority="29" dxfId="1" operator="lessThan" stopIfTrue="1">
      <formula>2.5</formula>
    </cfRule>
    <cfRule type="cellIs" priority="30" dxfId="0" operator="greaterThanOrEqual" stopIfTrue="1">
      <formula>5.5</formula>
    </cfRule>
  </conditionalFormatting>
  <conditionalFormatting sqref="C28">
    <cfRule type="cellIs" priority="27" dxfId="1" operator="lessThan" stopIfTrue="1">
      <formula>2.5</formula>
    </cfRule>
    <cfRule type="cellIs" priority="28" dxfId="0" operator="greaterThanOrEqual" stopIfTrue="1">
      <formula>5.5</formula>
    </cfRule>
  </conditionalFormatting>
  <conditionalFormatting sqref="AH28:BF28">
    <cfRule type="cellIs" priority="23" dxfId="1" operator="lessThan" stopIfTrue="1">
      <formula>2.5</formula>
    </cfRule>
    <cfRule type="cellIs" priority="24" dxfId="0" operator="greaterThanOrEqual" stopIfTrue="1">
      <formula>5.5</formula>
    </cfRule>
  </conditionalFormatting>
  <conditionalFormatting sqref="P4:Q27 S4:S27">
    <cfRule type="cellIs" priority="17" dxfId="1" operator="lessThan" stopIfTrue="1">
      <formula>2.5</formula>
    </cfRule>
    <cfRule type="cellIs" priority="18" dxfId="0" operator="greaterThanOrEqual" stopIfTrue="1">
      <formula>5.5</formula>
    </cfRule>
  </conditionalFormatting>
  <conditionalFormatting sqref="CF4:CG27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G4:H27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J4:J27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L4:N27">
    <cfRule type="cellIs" priority="9" dxfId="1" operator="lessThan" stopIfTrue="1">
      <formula>2.5</formula>
    </cfRule>
    <cfRule type="cellIs" priority="10" dxfId="0" operator="greaterThanOrEqual" stopIfTrue="1">
      <formula>5.5</formula>
    </cfRule>
  </conditionalFormatting>
  <conditionalFormatting sqref="AF4:AG27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AK4:AL27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D4:D27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conditionalFormatting sqref="E4:E27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D3 G3 CF3" numberStoredAsText="1"/>
    <ignoredError sqref="C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5.00390625" style="0" customWidth="1"/>
    <col min="2" max="2" width="26.00390625" style="0" customWidth="1"/>
    <col min="3" max="3" width="7.00390625" style="3" customWidth="1"/>
    <col min="4" max="4" width="3.375" style="0" customWidth="1"/>
    <col min="5" max="5" width="5.375" style="0" customWidth="1"/>
    <col min="6" max="6" width="27.625" style="0" customWidth="1"/>
    <col min="7" max="7" width="6.875" style="0" customWidth="1"/>
    <col min="8" max="8" width="3.125" style="0" customWidth="1"/>
    <col min="9" max="9" width="5.00390625" style="0" customWidth="1"/>
    <col min="10" max="10" width="27.25390625" style="0" customWidth="1"/>
    <col min="11" max="11" width="7.00390625" style="0" customWidth="1"/>
  </cols>
  <sheetData>
    <row r="1" spans="2:13" ht="15.75">
      <c r="B1" s="99" t="s">
        <v>401</v>
      </c>
      <c r="C1" s="296"/>
      <c r="D1" s="13"/>
      <c r="E1" s="13"/>
      <c r="F1" s="13"/>
      <c r="G1" s="13"/>
      <c r="H1" s="25"/>
      <c r="I1" s="26"/>
      <c r="L1" s="6"/>
      <c r="M1" s="7"/>
    </row>
    <row r="2" spans="2:13" ht="16.5" thickBot="1">
      <c r="B2" s="99" t="s">
        <v>354</v>
      </c>
      <c r="C2" s="296"/>
      <c r="D2" s="13"/>
      <c r="E2" s="99" t="s">
        <v>384</v>
      </c>
      <c r="F2" s="13"/>
      <c r="G2" s="13"/>
      <c r="H2" s="25"/>
      <c r="I2" s="99" t="s">
        <v>385</v>
      </c>
      <c r="L2" s="6"/>
      <c r="M2" s="7"/>
    </row>
    <row r="3" spans="1:11" ht="16.5" customHeight="1" thickBot="1">
      <c r="A3" s="27" t="s">
        <v>47</v>
      </c>
      <c r="B3" s="29" t="s">
        <v>23</v>
      </c>
      <c r="C3" s="134" t="s">
        <v>402</v>
      </c>
      <c r="D3" s="13"/>
      <c r="E3" s="27" t="s">
        <v>47</v>
      </c>
      <c r="F3" s="29" t="s">
        <v>23</v>
      </c>
      <c r="G3" s="134" t="s">
        <v>402</v>
      </c>
      <c r="H3" s="13"/>
      <c r="I3" s="27" t="s">
        <v>47</v>
      </c>
      <c r="J3" s="29" t="s">
        <v>23</v>
      </c>
      <c r="K3" s="134" t="s">
        <v>402</v>
      </c>
    </row>
    <row r="4" spans="1:11" ht="12.75">
      <c r="A4" s="437">
        <v>1</v>
      </c>
      <c r="B4" s="122" t="s">
        <v>156</v>
      </c>
      <c r="C4" s="347">
        <f>'377_Сводная_вед'!CH5</f>
        <v>7.722222222222222</v>
      </c>
      <c r="E4" s="506">
        <v>1</v>
      </c>
      <c r="F4" s="505" t="s">
        <v>156</v>
      </c>
      <c r="G4" s="108">
        <v>7.529411764705882</v>
      </c>
      <c r="I4" s="435" t="s">
        <v>414</v>
      </c>
      <c r="J4" s="505" t="s">
        <v>156</v>
      </c>
      <c r="K4" s="108">
        <v>7.619047619047619</v>
      </c>
    </row>
    <row r="5" spans="1:11" ht="12.75">
      <c r="A5" s="435">
        <v>2</v>
      </c>
      <c r="B5" s="119" t="s">
        <v>168</v>
      </c>
      <c r="C5" s="108">
        <f>'377_Сводная_вед'!CH18</f>
        <v>7.052631578947368</v>
      </c>
      <c r="E5" s="507" t="s">
        <v>68</v>
      </c>
      <c r="F5" s="505" t="s">
        <v>168</v>
      </c>
      <c r="G5" s="108">
        <v>7</v>
      </c>
      <c r="I5" s="435">
        <v>2</v>
      </c>
      <c r="J5" s="505" t="s">
        <v>168</v>
      </c>
      <c r="K5" s="108">
        <v>6.954545454545454</v>
      </c>
    </row>
    <row r="6" spans="1:11" ht="12.75">
      <c r="A6" s="435">
        <v>3</v>
      </c>
      <c r="B6" s="119" t="s">
        <v>169</v>
      </c>
      <c r="C6" s="108">
        <f>'377_Сводная_вед'!CH19</f>
        <v>6.947368421052632</v>
      </c>
      <c r="E6" s="507" t="s">
        <v>60</v>
      </c>
      <c r="F6" s="505" t="s">
        <v>169</v>
      </c>
      <c r="G6" s="108">
        <v>6.888888888888889</v>
      </c>
      <c r="I6" s="435">
        <v>3</v>
      </c>
      <c r="J6" s="505" t="s">
        <v>169</v>
      </c>
      <c r="K6" s="108">
        <v>6.886363636363637</v>
      </c>
    </row>
    <row r="7" spans="1:11" ht="12.75">
      <c r="A7" s="436" t="s">
        <v>408</v>
      </c>
      <c r="B7" s="2" t="s">
        <v>161</v>
      </c>
      <c r="C7" s="426">
        <f>'377_Сводная_вед'!CH11</f>
        <v>6.894736842105263</v>
      </c>
      <c r="E7" s="508">
        <v>4</v>
      </c>
      <c r="F7" s="204" t="s">
        <v>222</v>
      </c>
      <c r="G7" s="426">
        <v>6.352941176470588</v>
      </c>
      <c r="I7" s="436">
        <v>4</v>
      </c>
      <c r="J7" s="204" t="s">
        <v>222</v>
      </c>
      <c r="K7" s="426">
        <v>6.5476190476190474</v>
      </c>
    </row>
    <row r="8" spans="1:11" ht="12.75">
      <c r="A8" s="436" t="s">
        <v>408</v>
      </c>
      <c r="B8" s="2" t="s">
        <v>222</v>
      </c>
      <c r="C8" s="426">
        <f>'377_Сводная_вед'!CH10</f>
        <v>6.888888888888889</v>
      </c>
      <c r="E8" s="508">
        <v>5</v>
      </c>
      <c r="F8" s="204" t="s">
        <v>167</v>
      </c>
      <c r="G8" s="426">
        <v>6.333333333333333</v>
      </c>
      <c r="I8" s="436">
        <v>5</v>
      </c>
      <c r="J8" s="204" t="s">
        <v>161</v>
      </c>
      <c r="K8" s="426">
        <v>6.340909090909091</v>
      </c>
    </row>
    <row r="9" spans="1:11" ht="12.75">
      <c r="A9" s="436">
        <v>6</v>
      </c>
      <c r="B9" s="2" t="s">
        <v>167</v>
      </c>
      <c r="C9" s="426">
        <f>'377_Сводная_вед'!CH17</f>
        <v>6.473684210526316</v>
      </c>
      <c r="E9" s="508">
        <v>6</v>
      </c>
      <c r="F9" s="204" t="s">
        <v>178</v>
      </c>
      <c r="G9" s="426">
        <v>6.222222222222222</v>
      </c>
      <c r="I9" s="436">
        <v>6</v>
      </c>
      <c r="J9" s="204" t="s">
        <v>167</v>
      </c>
      <c r="K9" s="426">
        <v>6.318181818181818</v>
      </c>
    </row>
    <row r="10" spans="1:11" ht="12.75">
      <c r="A10" s="436">
        <v>7</v>
      </c>
      <c r="B10" s="2" t="s">
        <v>175</v>
      </c>
      <c r="C10" s="426">
        <f>'377_Сводная_вед'!CH24</f>
        <v>6.368421052631579</v>
      </c>
      <c r="E10" s="508">
        <v>7</v>
      </c>
      <c r="F10" s="204" t="s">
        <v>173</v>
      </c>
      <c r="G10" s="426">
        <v>6</v>
      </c>
      <c r="I10" s="436">
        <v>7</v>
      </c>
      <c r="J10" s="204" t="s">
        <v>178</v>
      </c>
      <c r="K10" s="426">
        <v>6.204545454545454</v>
      </c>
    </row>
    <row r="11" spans="1:11" ht="12.75">
      <c r="A11" s="436">
        <v>8</v>
      </c>
      <c r="B11" s="2" t="s">
        <v>170</v>
      </c>
      <c r="C11" s="426">
        <f>'377_Сводная_вед'!CH20</f>
        <v>6.2105263157894735</v>
      </c>
      <c r="E11" s="508">
        <v>8</v>
      </c>
      <c r="F11" s="204" t="s">
        <v>163</v>
      </c>
      <c r="G11" s="426">
        <v>5.944444444444445</v>
      </c>
      <c r="I11" s="436">
        <v>8</v>
      </c>
      <c r="J11" s="204" t="s">
        <v>175</v>
      </c>
      <c r="K11" s="426">
        <v>6.068181818181818</v>
      </c>
    </row>
    <row r="12" spans="1:11" ht="12.75">
      <c r="A12" s="436">
        <v>9</v>
      </c>
      <c r="B12" s="2" t="s">
        <v>178</v>
      </c>
      <c r="C12" s="426">
        <f>'377_Сводная_вед'!CH27</f>
        <v>6.157894736842105</v>
      </c>
      <c r="E12" s="436" t="s">
        <v>347</v>
      </c>
      <c r="F12" s="204" t="s">
        <v>170</v>
      </c>
      <c r="G12" s="426">
        <v>5.777777777777778</v>
      </c>
      <c r="I12" s="436">
        <v>9</v>
      </c>
      <c r="J12" s="204" t="s">
        <v>170</v>
      </c>
      <c r="K12" s="426">
        <v>5.931818181818182</v>
      </c>
    </row>
    <row r="13" spans="1:11" ht="12.75">
      <c r="A13" s="436">
        <v>10</v>
      </c>
      <c r="B13" s="2" t="s">
        <v>172</v>
      </c>
      <c r="C13" s="426">
        <f>'377_Сводная_вед'!CH21</f>
        <v>5.894736842105263</v>
      </c>
      <c r="E13" s="436" t="s">
        <v>347</v>
      </c>
      <c r="F13" s="204" t="s">
        <v>176</v>
      </c>
      <c r="G13" s="426">
        <v>5.777777777777778</v>
      </c>
      <c r="I13" s="436">
        <v>10</v>
      </c>
      <c r="J13" s="204" t="s">
        <v>163</v>
      </c>
      <c r="K13" s="426">
        <v>5.818181818181818</v>
      </c>
    </row>
    <row r="14" spans="1:11" ht="12.75">
      <c r="A14" s="436">
        <v>11</v>
      </c>
      <c r="B14" s="2" t="s">
        <v>164</v>
      </c>
      <c r="C14" s="426">
        <f>'377_Сводная_вед'!CH14</f>
        <v>5.7894736842105265</v>
      </c>
      <c r="E14" s="436" t="s">
        <v>415</v>
      </c>
      <c r="F14" s="204" t="s">
        <v>161</v>
      </c>
      <c r="G14" s="426">
        <v>5.722222222222222</v>
      </c>
      <c r="I14" s="436">
        <v>11</v>
      </c>
      <c r="J14" s="204" t="s">
        <v>172</v>
      </c>
      <c r="K14" s="426">
        <v>5.795454545454546</v>
      </c>
    </row>
    <row r="15" spans="1:11" ht="12.75">
      <c r="A15" s="436">
        <v>12</v>
      </c>
      <c r="B15" s="2" t="s">
        <v>163</v>
      </c>
      <c r="C15" s="426">
        <f>'377_Сводная_вед'!CH13</f>
        <v>5.7368421052631575</v>
      </c>
      <c r="E15" s="436" t="s">
        <v>415</v>
      </c>
      <c r="F15" s="204" t="s">
        <v>175</v>
      </c>
      <c r="G15" s="426">
        <v>5.722222222222222</v>
      </c>
      <c r="I15" s="436" t="s">
        <v>410</v>
      </c>
      <c r="J15" s="204" t="s">
        <v>173</v>
      </c>
      <c r="K15" s="426">
        <v>5.7727272727272725</v>
      </c>
    </row>
    <row r="16" spans="1:11" ht="12.75">
      <c r="A16" s="436">
        <v>13</v>
      </c>
      <c r="B16" s="2" t="s">
        <v>176</v>
      </c>
      <c r="C16" s="426">
        <f>'377_Сводная_вед'!CH25</f>
        <v>5.684210526315789</v>
      </c>
      <c r="E16" s="508">
        <v>13</v>
      </c>
      <c r="F16" s="204" t="s">
        <v>160</v>
      </c>
      <c r="G16" s="426">
        <v>5.666666666666667</v>
      </c>
      <c r="I16" s="436" t="s">
        <v>410</v>
      </c>
      <c r="J16" s="204" t="s">
        <v>176</v>
      </c>
      <c r="K16" s="426">
        <v>5.7727272727272725</v>
      </c>
    </row>
    <row r="17" spans="1:11" ht="12.75">
      <c r="A17" s="436">
        <v>14</v>
      </c>
      <c r="B17" s="2" t="s">
        <v>166</v>
      </c>
      <c r="C17" s="426">
        <f>'377_Сводная_вед'!CH16</f>
        <v>5.631578947368421</v>
      </c>
      <c r="E17" s="508">
        <v>14</v>
      </c>
      <c r="F17" s="204" t="s">
        <v>164</v>
      </c>
      <c r="G17" s="426">
        <v>5.611111111111111</v>
      </c>
      <c r="I17" s="436">
        <v>14</v>
      </c>
      <c r="J17" s="204" t="s">
        <v>164</v>
      </c>
      <c r="K17" s="426">
        <v>5.704545454545454</v>
      </c>
    </row>
    <row r="18" spans="1:11" ht="12.75">
      <c r="A18" s="436">
        <v>15</v>
      </c>
      <c r="B18" s="2" t="s">
        <v>173</v>
      </c>
      <c r="C18" s="426">
        <f>'377_Сводная_вед'!CH22</f>
        <v>5.578947368421052</v>
      </c>
      <c r="E18" s="508">
        <v>15</v>
      </c>
      <c r="F18" s="204" t="s">
        <v>172</v>
      </c>
      <c r="G18" s="426">
        <v>5.5</v>
      </c>
      <c r="I18" s="436">
        <v>15</v>
      </c>
      <c r="J18" s="204" t="s">
        <v>166</v>
      </c>
      <c r="K18" s="426">
        <v>5.363636363636363</v>
      </c>
    </row>
    <row r="19" spans="1:11" ht="12.75">
      <c r="A19" s="436">
        <v>16</v>
      </c>
      <c r="B19" s="2" t="s">
        <v>174</v>
      </c>
      <c r="C19" s="426">
        <f>'377_Сводная_вед'!CH23</f>
        <v>5.473684210526316</v>
      </c>
      <c r="E19" s="508">
        <v>16</v>
      </c>
      <c r="F19" s="204" t="s">
        <v>159</v>
      </c>
      <c r="G19" s="426">
        <v>5.411764705882353</v>
      </c>
      <c r="I19" s="436">
        <v>16</v>
      </c>
      <c r="J19" s="204" t="s">
        <v>174</v>
      </c>
      <c r="K19" s="426">
        <v>5.340909090909091</v>
      </c>
    </row>
    <row r="20" spans="1:11" ht="12.75">
      <c r="A20" s="436">
        <v>17</v>
      </c>
      <c r="B20" s="2" t="s">
        <v>159</v>
      </c>
      <c r="C20" s="426">
        <f>'377_Сводная_вед'!CH8</f>
        <v>5.222222222222222</v>
      </c>
      <c r="E20" s="508">
        <v>17</v>
      </c>
      <c r="F20" s="204" t="s">
        <v>157</v>
      </c>
      <c r="G20" s="504">
        <v>5.333333333333333</v>
      </c>
      <c r="I20" s="436" t="s">
        <v>416</v>
      </c>
      <c r="J20" s="204" t="s">
        <v>157</v>
      </c>
      <c r="K20" s="504">
        <v>5.318181818181818</v>
      </c>
    </row>
    <row r="21" spans="1:11" ht="12.75">
      <c r="A21" s="436" t="s">
        <v>409</v>
      </c>
      <c r="B21" s="2" t="s">
        <v>157</v>
      </c>
      <c r="C21" s="426">
        <f>'377_Сводная_вед'!CH6</f>
        <v>5.157894736842105</v>
      </c>
      <c r="E21" s="508">
        <v>18</v>
      </c>
      <c r="F21" s="204" t="s">
        <v>166</v>
      </c>
      <c r="G21" s="426">
        <v>5.055555555555555</v>
      </c>
      <c r="I21" s="436" t="s">
        <v>416</v>
      </c>
      <c r="J21" s="204" t="s">
        <v>160</v>
      </c>
      <c r="K21" s="426">
        <v>5.318181818181818</v>
      </c>
    </row>
    <row r="22" spans="1:11" ht="12.75">
      <c r="A22" s="436" t="s">
        <v>409</v>
      </c>
      <c r="B22" s="2" t="s">
        <v>160</v>
      </c>
      <c r="C22" s="426">
        <f>'377_Сводная_вед'!CH9</f>
        <v>5.157894736842105</v>
      </c>
      <c r="E22" s="508">
        <v>19</v>
      </c>
      <c r="F22" s="204" t="s">
        <v>174</v>
      </c>
      <c r="G22" s="426">
        <v>4.888888888888889</v>
      </c>
      <c r="I22" s="436">
        <v>19</v>
      </c>
      <c r="J22" s="204" t="s">
        <v>159</v>
      </c>
      <c r="K22" s="426">
        <v>5.309523809523809</v>
      </c>
    </row>
    <row r="23" spans="1:11" ht="12.75">
      <c r="A23" s="436">
        <v>20</v>
      </c>
      <c r="B23" s="2" t="s">
        <v>162</v>
      </c>
      <c r="C23" s="426">
        <f>'377_Сводная_вед'!CH12</f>
        <v>5</v>
      </c>
      <c r="E23" s="508">
        <v>20</v>
      </c>
      <c r="F23" s="204" t="s">
        <v>162</v>
      </c>
      <c r="G23" s="426">
        <v>4.833333333333333</v>
      </c>
      <c r="I23" s="436">
        <v>20</v>
      </c>
      <c r="J23" s="204" t="s">
        <v>162</v>
      </c>
      <c r="K23" s="426">
        <v>4.886363636363637</v>
      </c>
    </row>
    <row r="24" spans="1:11" ht="12.75">
      <c r="A24" s="436">
        <v>21</v>
      </c>
      <c r="B24" s="2" t="s">
        <v>155</v>
      </c>
      <c r="C24" s="426">
        <f>'377_Сводная_вед'!CH4</f>
        <v>4.631578947368421</v>
      </c>
      <c r="E24" s="508">
        <v>21</v>
      </c>
      <c r="F24" s="204" t="s">
        <v>155</v>
      </c>
      <c r="G24" s="504">
        <v>4.222222222222222</v>
      </c>
      <c r="I24" s="436">
        <v>21</v>
      </c>
      <c r="J24" s="204" t="s">
        <v>155</v>
      </c>
      <c r="K24" s="504">
        <v>4.454545454545454</v>
      </c>
    </row>
    <row r="25" spans="1:11" ht="12.75">
      <c r="A25" s="436">
        <v>22</v>
      </c>
      <c r="B25" s="2" t="s">
        <v>158</v>
      </c>
      <c r="C25" s="426">
        <f>'377_Сводная_вед'!CH7</f>
        <v>4.368421052631579</v>
      </c>
      <c r="E25" s="508">
        <v>22</v>
      </c>
      <c r="F25" s="204" t="s">
        <v>158</v>
      </c>
      <c r="G25" s="426">
        <v>4</v>
      </c>
      <c r="I25" s="436">
        <v>22</v>
      </c>
      <c r="J25" s="204" t="s">
        <v>158</v>
      </c>
      <c r="K25" s="426">
        <v>4.295454545454546</v>
      </c>
    </row>
    <row r="26" spans="1:11" ht="12.75">
      <c r="A26" s="436">
        <v>23</v>
      </c>
      <c r="B26" s="2" t="s">
        <v>165</v>
      </c>
      <c r="C26" s="426">
        <f>'377_Сводная_вед'!CH15</f>
        <v>3.6666666666666665</v>
      </c>
      <c r="E26" s="508">
        <v>23</v>
      </c>
      <c r="F26" s="205" t="s">
        <v>177</v>
      </c>
      <c r="G26" s="426">
        <v>3.611111111111111</v>
      </c>
      <c r="I26" s="436">
        <v>23</v>
      </c>
      <c r="J26" s="205" t="s">
        <v>177</v>
      </c>
      <c r="K26" s="426">
        <v>3.659090909090909</v>
      </c>
    </row>
    <row r="27" spans="1:11" ht="12.75">
      <c r="A27" s="436">
        <v>24</v>
      </c>
      <c r="B27" s="2" t="s">
        <v>177</v>
      </c>
      <c r="C27" s="426">
        <f>'377_Сводная_вед'!CH26</f>
        <v>3.473684210526316</v>
      </c>
      <c r="E27" s="508">
        <v>24</v>
      </c>
      <c r="F27" s="205" t="s">
        <v>165</v>
      </c>
      <c r="G27" s="426">
        <v>3</v>
      </c>
      <c r="I27" s="436">
        <v>24</v>
      </c>
      <c r="J27" s="205" t="s">
        <v>165</v>
      </c>
      <c r="K27" s="426">
        <v>3.272727272727273</v>
      </c>
    </row>
    <row r="28" spans="2:11" ht="12.75">
      <c r="B28" s="434" t="s">
        <v>407</v>
      </c>
      <c r="C28" s="108">
        <f>AVERAGE(C4:C27)</f>
        <v>5.716008771929825</v>
      </c>
      <c r="F28" s="434" t="s">
        <v>407</v>
      </c>
      <c r="G28" s="108">
        <f>AVERAGE(G4:G27)</f>
        <v>5.516884531590414</v>
      </c>
      <c r="J28" s="434" t="s">
        <v>407</v>
      </c>
      <c r="K28" s="108">
        <f>AVERAGE(K4:K27)</f>
        <v>5.623060966810965</v>
      </c>
    </row>
  </sheetData>
  <sheetProtection/>
  <conditionalFormatting sqref="C4:C27">
    <cfRule type="cellIs" priority="47" dxfId="1" operator="lessThan" stopIfTrue="1">
      <formula>2.5</formula>
    </cfRule>
    <cfRule type="cellIs" priority="48" dxfId="0" operator="greaterThanOrEqual" stopIfTrue="1">
      <formula>5.5</formula>
    </cfRule>
  </conditionalFormatting>
  <conditionalFormatting sqref="G4:G27">
    <cfRule type="cellIs" priority="9" dxfId="1" operator="lessThan" stopIfTrue="1">
      <formula>2.5</formula>
    </cfRule>
    <cfRule type="cellIs" priority="10" dxfId="0" operator="greaterThanOrEqual" stopIfTrue="1">
      <formula>5.5</formula>
    </cfRule>
  </conditionalFormatting>
  <conditionalFormatting sqref="K4:K27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C28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G28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conditionalFormatting sqref="K28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PageLayoutView="0" workbookViewId="0" topLeftCell="A16">
      <selection activeCell="O39" sqref="O39"/>
    </sheetView>
  </sheetViews>
  <sheetFormatPr defaultColWidth="9.00390625" defaultRowHeight="12.75"/>
  <cols>
    <col min="1" max="1" width="20.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6.875" style="0" customWidth="1"/>
    <col min="9" max="9" width="7.75390625" style="0" customWidth="1"/>
    <col min="10" max="10" width="8.125" style="0" customWidth="1"/>
    <col min="11" max="11" width="8.00390625" style="0" customWidth="1"/>
    <col min="12" max="12" width="7.25390625" style="0" customWidth="1"/>
    <col min="13" max="13" width="6.75390625" style="0" customWidth="1"/>
    <col min="14" max="14" width="8.375" style="0" customWidth="1"/>
    <col min="15" max="15" width="10.75390625" style="166" customWidth="1"/>
    <col min="16" max="16" width="11.875" style="168" customWidth="1"/>
    <col min="17" max="17" width="11.00390625" style="167" bestFit="1" customWidth="1"/>
  </cols>
  <sheetData>
    <row r="1" spans="4:17" s="8" customFormat="1" ht="15.75">
      <c r="D1" s="8" t="s">
        <v>2</v>
      </c>
      <c r="O1" s="166"/>
      <c r="P1" s="167"/>
      <c r="Q1" s="167"/>
    </row>
    <row r="2" spans="5:8" ht="15.75">
      <c r="E2" s="295" t="s">
        <v>321</v>
      </c>
      <c r="F2" s="8"/>
      <c r="G2" s="8"/>
      <c r="H2" s="8"/>
    </row>
    <row r="4" spans="1:3" ht="15.75">
      <c r="A4" s="4" t="s">
        <v>3</v>
      </c>
      <c r="B4" s="4" t="s">
        <v>4</v>
      </c>
      <c r="C4" s="4"/>
    </row>
    <row r="5" spans="1:10" ht="15.75">
      <c r="A5" s="484" t="s">
        <v>5</v>
      </c>
      <c r="B5" s="485"/>
      <c r="C5" s="485"/>
      <c r="D5" s="486"/>
      <c r="E5" s="490" t="s">
        <v>6</v>
      </c>
      <c r="F5" s="490"/>
      <c r="G5" s="490"/>
      <c r="H5" s="490"/>
      <c r="I5" s="490"/>
      <c r="J5" s="490"/>
    </row>
    <row r="6" spans="1:10" ht="12.75">
      <c r="A6" s="491" t="s">
        <v>210</v>
      </c>
      <c r="B6" s="492"/>
      <c r="C6" s="492"/>
      <c r="D6" s="493"/>
      <c r="E6" s="31">
        <v>375</v>
      </c>
      <c r="F6" s="5">
        <v>376</v>
      </c>
      <c r="G6" s="31">
        <v>377</v>
      </c>
      <c r="H6" s="5">
        <v>378</v>
      </c>
      <c r="I6" s="31">
        <v>379</v>
      </c>
      <c r="J6" s="5">
        <v>380</v>
      </c>
    </row>
    <row r="7" spans="1:9" ht="12.75">
      <c r="A7" s="487" t="s">
        <v>211</v>
      </c>
      <c r="B7" s="488"/>
      <c r="C7" s="488"/>
      <c r="D7" s="489"/>
      <c r="E7" s="31">
        <v>375</v>
      </c>
      <c r="F7" s="5">
        <v>376</v>
      </c>
      <c r="G7" s="31">
        <v>377</v>
      </c>
      <c r="H7" s="12"/>
      <c r="I7" s="12"/>
    </row>
    <row r="8" spans="3:6" ht="12.75">
      <c r="C8" s="6"/>
      <c r="D8" s="6"/>
      <c r="E8" s="6"/>
      <c r="F8" s="6"/>
    </row>
    <row r="9" spans="1:19" s="133" customFormat="1" ht="12.75">
      <c r="A9" s="169" t="s">
        <v>8</v>
      </c>
      <c r="B9" s="169" t="s">
        <v>9</v>
      </c>
      <c r="C9" s="169">
        <v>10</v>
      </c>
      <c r="D9" s="187">
        <v>9</v>
      </c>
      <c r="E9" s="187">
        <v>8</v>
      </c>
      <c r="F9" s="169">
        <v>7</v>
      </c>
      <c r="G9" s="169">
        <v>6</v>
      </c>
      <c r="H9" s="169">
        <v>5</v>
      </c>
      <c r="I9" s="169">
        <v>4</v>
      </c>
      <c r="J9" s="169">
        <v>3</v>
      </c>
      <c r="K9" s="169">
        <v>2</v>
      </c>
      <c r="L9" s="169">
        <v>1</v>
      </c>
      <c r="M9" s="169">
        <v>0</v>
      </c>
      <c r="N9" s="169" t="s">
        <v>13</v>
      </c>
      <c r="O9" s="169" t="s">
        <v>10</v>
      </c>
      <c r="P9" s="170" t="s">
        <v>11</v>
      </c>
      <c r="Q9" s="170" t="s">
        <v>12</v>
      </c>
      <c r="R9" s="188"/>
      <c r="S9" s="188"/>
    </row>
    <row r="10" spans="1:19" s="133" customFormat="1" ht="13.5" thickBot="1">
      <c r="A10" s="171" t="s">
        <v>17</v>
      </c>
      <c r="B10" s="171" t="s">
        <v>18</v>
      </c>
      <c r="C10" s="171"/>
      <c r="D10" s="189"/>
      <c r="E10" s="189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2"/>
      <c r="R10" s="188"/>
      <c r="S10" s="188"/>
    </row>
    <row r="11" spans="1:19" ht="12.75">
      <c r="A11" s="78" t="s">
        <v>212</v>
      </c>
      <c r="B11" s="66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73"/>
      <c r="P11" s="174"/>
      <c r="Q11" s="175"/>
      <c r="R11" s="6"/>
      <c r="S11" s="6"/>
    </row>
    <row r="12" spans="1:19" ht="12.75">
      <c r="A12" s="280"/>
      <c r="B12" s="279" t="s">
        <v>315</v>
      </c>
      <c r="C12" s="31">
        <f>COUNTIF('375_Физика'!$L$3:$L$24,C9)</f>
        <v>0</v>
      </c>
      <c r="D12" s="31">
        <f>COUNTIF('375_Физика'!$L$3:$L$24,D9)</f>
        <v>0</v>
      </c>
      <c r="E12" s="31">
        <f>COUNTIF('375_Физика'!$L$3:$L$24,E9)</f>
        <v>2</v>
      </c>
      <c r="F12" s="31">
        <f>COUNTIF('375_Физика'!$L$3:$L$24,F9)</f>
        <v>5</v>
      </c>
      <c r="G12" s="31">
        <f>COUNTIF('375_Физика'!$L$3:$L$24,G9)</f>
        <v>6</v>
      </c>
      <c r="H12" s="31">
        <f>COUNTIF('375_Физика'!$L$3:$L$24,H9)</f>
        <v>1</v>
      </c>
      <c r="I12" s="31">
        <f>COUNTIF('375_Физика'!$L$3:$L$24,I9)</f>
        <v>6</v>
      </c>
      <c r="J12" s="31">
        <f>COUNTIF('375_Физика'!$L$3:$L$24,J9)</f>
        <v>2</v>
      </c>
      <c r="K12" s="31">
        <f>COUNTIF('375_Физика'!$L$3:$L$24,K9)</f>
        <v>0</v>
      </c>
      <c r="L12" s="31">
        <f>COUNTIF('375_Физика'!$L$3:$L$24,L9)</f>
        <v>0</v>
      </c>
      <c r="M12" s="31">
        <f>COUNTIF('375_Физика'!$L$3:$L$24,M9)</f>
        <v>0</v>
      </c>
      <c r="N12" s="31">
        <f>$A$13-SUM(C12:M12)</f>
        <v>0</v>
      </c>
      <c r="O12" s="277">
        <f>'375_Физика'!L25</f>
        <v>5.545454545454546</v>
      </c>
      <c r="P12" s="278">
        <f>SUM(C12:J12)/$A$13</f>
        <v>1</v>
      </c>
      <c r="Q12" s="281">
        <f>SUM(C12:G12)/$A$13</f>
        <v>0.5909090909090909</v>
      </c>
      <c r="R12" s="6"/>
      <c r="S12" s="6"/>
    </row>
    <row r="13" spans="1:19" ht="13.5" thickBot="1">
      <c r="A13" s="282">
        <f>'375_Физика'!B24</f>
        <v>22</v>
      </c>
      <c r="B13" s="283" t="s">
        <v>316</v>
      </c>
      <c r="C13" s="284">
        <f>COUNTIF('375_Физика'!$T$3:$T$24,C9)</f>
        <v>0</v>
      </c>
      <c r="D13" s="284">
        <f>COUNTIF('375_Физика'!$T$3:$T$24,D9)</f>
        <v>0</v>
      </c>
      <c r="E13" s="284">
        <f>COUNTIF('375_Физика'!$T$3:$T$24,E9)</f>
        <v>1</v>
      </c>
      <c r="F13" s="284">
        <f>COUNTIF('375_Физика'!$T$3:$T$24,F9)</f>
        <v>9</v>
      </c>
      <c r="G13" s="284">
        <f>COUNTIF('375_Физика'!$T$3:$T$24,G9)</f>
        <v>5</v>
      </c>
      <c r="H13" s="284">
        <f>COUNTIF('375_Физика'!$T$3:$T$24,H9)</f>
        <v>6</v>
      </c>
      <c r="I13" s="284">
        <f>COUNTIF('375_Физика'!$T$3:$T$24,I9)</f>
        <v>0</v>
      </c>
      <c r="J13" s="284">
        <f>COUNTIF('375_Физика'!$T$3:$T$24,J9)</f>
        <v>1</v>
      </c>
      <c r="K13" s="284">
        <f>COUNTIF('375_Физика'!$T$3:$T$24,K9)</f>
        <v>0</v>
      </c>
      <c r="L13" s="284">
        <f>COUNTIF('375_Физика'!$T$3:$T$24,L9)</f>
        <v>0</v>
      </c>
      <c r="M13" s="284">
        <f>COUNTIF('375_Физика'!$T$3:$T$24,M9)</f>
        <v>0</v>
      </c>
      <c r="N13" s="284">
        <f>$A$13-SUM(C13:M13)</f>
        <v>0</v>
      </c>
      <c r="O13" s="176">
        <f>'375_Физика'!T25</f>
        <v>6.090909090909091</v>
      </c>
      <c r="P13" s="190">
        <f>SUM(C13:J13)/$A$13</f>
        <v>1</v>
      </c>
      <c r="Q13" s="191">
        <f>SUM(C13:G13)/$A$13</f>
        <v>0.6818181818181818</v>
      </c>
      <c r="R13" s="6"/>
      <c r="S13" s="6"/>
    </row>
    <row r="14" spans="1:17" ht="12.75">
      <c r="A14" s="86" t="s">
        <v>213</v>
      </c>
      <c r="B14" s="66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73"/>
      <c r="P14" s="174"/>
      <c r="Q14" s="175"/>
    </row>
    <row r="15" spans="1:17" ht="12.75">
      <c r="A15" s="285"/>
      <c r="B15" s="279" t="s">
        <v>315</v>
      </c>
      <c r="C15" s="5">
        <f>COUNTIF('375_Астрономия'!$L$3:$L$24,C9)</f>
        <v>0</v>
      </c>
      <c r="D15" s="5">
        <f>COUNTIF('375_Астрономия'!$L$3:$L$24,D9)</f>
        <v>1</v>
      </c>
      <c r="E15" s="5">
        <f>COUNTIF('375_Астрономия'!$L$3:$L$24,E9)</f>
        <v>3</v>
      </c>
      <c r="F15" s="5">
        <f>COUNTIF('375_Астрономия'!$L$3:$L$24,F9)</f>
        <v>5</v>
      </c>
      <c r="G15" s="5">
        <f>COUNTIF('375_Астрономия'!$L$3:$L$24,G9)</f>
        <v>6</v>
      </c>
      <c r="H15" s="5">
        <f>COUNTIF('375_Астрономия'!$L$3:$L$24,H9)</f>
        <v>6</v>
      </c>
      <c r="I15" s="5">
        <f>COUNTIF('375_Астрономия'!$L$3:$L$24,I9)</f>
        <v>1</v>
      </c>
      <c r="J15" s="5">
        <f>COUNTIF('375_Астрономия'!$L$3:$L$24,J9)</f>
        <v>0</v>
      </c>
      <c r="K15" s="5">
        <f>COUNTIF('375_Астрономия'!$L$3:$L$24,K9)</f>
        <v>0</v>
      </c>
      <c r="L15" s="5">
        <f>COUNTIF('375_Астрономия'!$L$3:$L$24,L9)</f>
        <v>0</v>
      </c>
      <c r="M15" s="5">
        <f>COUNTIF('375_Астрономия'!$L$3:$L$24,M9)</f>
        <v>0</v>
      </c>
      <c r="N15" s="5">
        <f>$A$16-SUM(C15:M15)</f>
        <v>0</v>
      </c>
      <c r="O15" s="277">
        <f>'375_Астрономия'!L25</f>
        <v>6.2727272727272725</v>
      </c>
      <c r="P15" s="278">
        <f>SUM(C15:J15)/$A$16</f>
        <v>1</v>
      </c>
      <c r="Q15" s="281">
        <f>SUM(C15:G15)/$A$16</f>
        <v>0.6818181818181818</v>
      </c>
    </row>
    <row r="16" spans="1:17" ht="13.5" thickBot="1">
      <c r="A16" s="286">
        <f>'375_Астрономия'!B24</f>
        <v>22</v>
      </c>
      <c r="B16" s="283" t="s">
        <v>316</v>
      </c>
      <c r="C16" s="80">
        <f>COUNTIF('375_Астрономия'!$U$3:$U$24,C9)</f>
        <v>0</v>
      </c>
      <c r="D16" s="80">
        <f>COUNTIF('375_Астрономия'!$U$3:$U$24,D9)</f>
        <v>0</v>
      </c>
      <c r="E16" s="80">
        <f>COUNTIF('375_Астрономия'!$U$3:$U$24,E9)</f>
        <v>0</v>
      </c>
      <c r="F16" s="80">
        <f>COUNTIF('375_Астрономия'!$U$3:$U$24,F9)</f>
        <v>9</v>
      </c>
      <c r="G16" s="80">
        <f>COUNTIF('375_Астрономия'!$U$3:$U$24,G9)</f>
        <v>7</v>
      </c>
      <c r="H16" s="80">
        <f>COUNTIF('375_Астрономия'!$U$3:$U$24,H9)</f>
        <v>5</v>
      </c>
      <c r="I16" s="80">
        <f>COUNTIF('375_Астрономия'!$U$3:$U$24,I9)</f>
        <v>0</v>
      </c>
      <c r="J16" s="80">
        <f>COUNTIF('375_Астрономия'!$U$3:$U$24,J9)</f>
        <v>1</v>
      </c>
      <c r="K16" s="80">
        <f>COUNTIF('375_Астрономия'!$U$3:$U$24,K9)</f>
        <v>0</v>
      </c>
      <c r="L16" s="80">
        <f>COUNTIF('375_Астрономия'!$U$3:$U$24,L9)</f>
        <v>0</v>
      </c>
      <c r="M16" s="80">
        <f>COUNTIF('375_Астрономия'!$U$3:$U$24,M9)</f>
        <v>0</v>
      </c>
      <c r="N16" s="80">
        <f>$A$16-SUM(C16:M16)</f>
        <v>0</v>
      </c>
      <c r="O16" s="176">
        <f>'375_Астрономия'!U25</f>
        <v>6.045454545454546</v>
      </c>
      <c r="P16" s="190">
        <f>SUM(C16:J16)/$A$16</f>
        <v>1</v>
      </c>
      <c r="Q16" s="191">
        <f>SUM(C16:G16)/$A$16</f>
        <v>0.7272727272727273</v>
      </c>
    </row>
    <row r="17" spans="1:17" ht="12.75">
      <c r="A17" s="86" t="s">
        <v>214</v>
      </c>
      <c r="B17" s="6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73"/>
      <c r="P17" s="174"/>
      <c r="Q17" s="175"/>
    </row>
    <row r="18" spans="1:17" ht="12.75">
      <c r="A18" s="285"/>
      <c r="B18" s="279" t="s">
        <v>315</v>
      </c>
      <c r="C18" s="5">
        <f>COUNTIF('376_Физика'!$K$3:$K$26,C9)</f>
        <v>0</v>
      </c>
      <c r="D18" s="5">
        <f>COUNTIF('376_Физика'!$K$3:$K$26,D9)</f>
        <v>0</v>
      </c>
      <c r="E18" s="5">
        <f>COUNTIF('376_Физика'!$K$3:$K$26,E9)</f>
        <v>0</v>
      </c>
      <c r="F18" s="5">
        <f>COUNTIF('376_Физика'!$K$3:$K$26,F9)</f>
        <v>3</v>
      </c>
      <c r="G18" s="5">
        <f>COUNTIF('376_Физика'!$K$3:$K$26,G9)</f>
        <v>9</v>
      </c>
      <c r="H18" s="5">
        <f>COUNTIF('376_Физика'!$K$3:$K$26,H9)</f>
        <v>7</v>
      </c>
      <c r="I18" s="5">
        <f>COUNTIF('376_Физика'!$K$3:$K$26,I9)</f>
        <v>4</v>
      </c>
      <c r="J18" s="5">
        <f>COUNTIF('376_Физика'!$K$3:$K$26,J9)</f>
        <v>1</v>
      </c>
      <c r="K18" s="5">
        <f>COUNTIF('376_Физика'!$K$3:$K$26,K9)</f>
        <v>0</v>
      </c>
      <c r="L18" s="5">
        <f>COUNTIF('376_Физика'!$K$3:$K$26,L9)</f>
        <v>0</v>
      </c>
      <c r="M18" s="5">
        <f>COUNTIF('376_Физика'!$K$3:$K$26,M9)</f>
        <v>0</v>
      </c>
      <c r="N18" s="5">
        <f>COUNTIF('376_Физика'!$K$3:$K$26,N9)</f>
        <v>0</v>
      </c>
      <c r="O18" s="277">
        <f>'376_Физика'!K27</f>
        <v>5.375</v>
      </c>
      <c r="P18" s="278">
        <f>SUM(C18:J18)/$A$19</f>
        <v>1</v>
      </c>
      <c r="Q18" s="281">
        <f>SUM(C18:G18)/$A$19</f>
        <v>0.5</v>
      </c>
    </row>
    <row r="19" spans="1:17" ht="13.5" thickBot="1">
      <c r="A19" s="286">
        <f>'376_Физика'!B26</f>
        <v>24</v>
      </c>
      <c r="B19" s="283" t="s">
        <v>316</v>
      </c>
      <c r="C19" s="80">
        <f>COUNTIF('376_Физика'!$R$3:$R$26,C9)</f>
        <v>0</v>
      </c>
      <c r="D19" s="80">
        <f>COUNTIF('376_Физика'!$R$3:$R$26,D9)</f>
        <v>1</v>
      </c>
      <c r="E19" s="80">
        <f>COUNTIF('376_Физика'!$R$3:$R$26,E9)</f>
        <v>0</v>
      </c>
      <c r="F19" s="80">
        <f>COUNTIF('376_Физика'!$R$3:$R$26,F9)</f>
        <v>7</v>
      </c>
      <c r="G19" s="80">
        <f>COUNTIF('376_Физика'!$R$3:$R$26,G9)</f>
        <v>4</v>
      </c>
      <c r="H19" s="80">
        <f>COUNTIF('376_Физика'!$R$3:$R$26,H9)</f>
        <v>6</v>
      </c>
      <c r="I19" s="80">
        <f>COUNTIF('376_Физика'!$R$3:$R$26,I9)</f>
        <v>6</v>
      </c>
      <c r="J19" s="80">
        <f>COUNTIF('376_Физика'!$R$3:$R$26,J9)</f>
        <v>0</v>
      </c>
      <c r="K19" s="80">
        <f>COUNTIF('376_Физика'!$R$3:$R$26,K9)</f>
        <v>0</v>
      </c>
      <c r="L19" s="80">
        <f>COUNTIF('376_Физика'!$R$3:$R$26,L9)</f>
        <v>0</v>
      </c>
      <c r="M19" s="80">
        <f>COUNTIF('376_Физика'!$R$3:$R$26,M9)</f>
        <v>0</v>
      </c>
      <c r="N19" s="80">
        <f>COUNTIF('376_Физика'!$R$3:$R$26,N9)</f>
        <v>0</v>
      </c>
      <c r="O19" s="176">
        <f>'376_Физика'!R27</f>
        <v>5.666666666666667</v>
      </c>
      <c r="P19" s="190">
        <f>SUM(C19:J19)/$A$19</f>
        <v>1</v>
      </c>
      <c r="Q19" s="191">
        <f>SUM(C19:G19)/$A$19</f>
        <v>0.5</v>
      </c>
    </row>
    <row r="20" spans="1:17" ht="12.75">
      <c r="A20" s="86" t="s">
        <v>277</v>
      </c>
      <c r="B20" s="66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73"/>
      <c r="P20" s="174"/>
      <c r="Q20" s="175"/>
    </row>
    <row r="21" spans="1:17" ht="12.75">
      <c r="A21" s="285"/>
      <c r="B21" s="279" t="s">
        <v>315</v>
      </c>
      <c r="C21" s="5">
        <f>COUNTIF('376_Астрономия'!$M$3:$M$26,C9)</f>
        <v>0</v>
      </c>
      <c r="D21" s="5">
        <f>COUNTIF('376_Астрономия'!$M$3:$M$26,D9)</f>
        <v>0</v>
      </c>
      <c r="E21" s="5">
        <f>COUNTIF('376_Астрономия'!$M$3:$M$26,E9)</f>
        <v>1</v>
      </c>
      <c r="F21" s="5">
        <f>COUNTIF('376_Астрономия'!$M$3:$M$26,F9)</f>
        <v>3</v>
      </c>
      <c r="G21" s="5">
        <f>COUNTIF('376_Астрономия'!$M$3:$M$26,G9)</f>
        <v>10</v>
      </c>
      <c r="H21" s="5">
        <f>COUNTIF('376_Астрономия'!$M$3:$M$26,H9)</f>
        <v>8</v>
      </c>
      <c r="I21" s="5">
        <f>COUNTIF('376_Астрономия'!$M$3:$M$26,I9)</f>
        <v>2</v>
      </c>
      <c r="J21" s="5">
        <f>COUNTIF('376_Астрономия'!$M$3:$M$26,J9)</f>
        <v>0</v>
      </c>
      <c r="K21" s="5">
        <f>COUNTIF('376_Астрономия'!$M$3:$M$26,K9)</f>
        <v>0</v>
      </c>
      <c r="L21" s="5">
        <f>COUNTIF('376_Астрономия'!$M$3:$M$26,L9)</f>
        <v>0</v>
      </c>
      <c r="M21" s="5">
        <f>COUNTIF('376_Астрономия'!$M$3:$M$26,M9)</f>
        <v>0</v>
      </c>
      <c r="N21" s="5">
        <f>$A$22-SUM(C21:M21)</f>
        <v>0</v>
      </c>
      <c r="O21" s="277">
        <f>'376_Астрономия'!M27</f>
        <v>5.708333333333333</v>
      </c>
      <c r="P21" s="278">
        <f>SUM(C21:J21)/$A$22</f>
        <v>1</v>
      </c>
      <c r="Q21" s="281">
        <f>SUM(C21:G21)/$A$22</f>
        <v>0.5833333333333334</v>
      </c>
    </row>
    <row r="22" spans="1:17" ht="13.5" thickBot="1">
      <c r="A22" s="286">
        <f>'376_Астрономия'!B26</f>
        <v>24</v>
      </c>
      <c r="B22" s="283" t="s">
        <v>316</v>
      </c>
      <c r="C22" s="80">
        <f>COUNTIF('376_Астрономия'!$U$3:$U$26,C9)</f>
        <v>1</v>
      </c>
      <c r="D22" s="80">
        <f>COUNTIF('376_Астрономия'!$U$3:$U$26,D9)</f>
        <v>0</v>
      </c>
      <c r="E22" s="80">
        <f>COUNTIF('376_Астрономия'!$U$3:$U$26,E9)</f>
        <v>0</v>
      </c>
      <c r="F22" s="80">
        <f>COUNTIF('376_Астрономия'!$U$3:$U$26,F9)</f>
        <v>1</v>
      </c>
      <c r="G22" s="80">
        <f>COUNTIF('376_Астрономия'!$U$3:$U$26,G9)</f>
        <v>9</v>
      </c>
      <c r="H22" s="80">
        <f>COUNTIF('376_Астрономия'!$U$3:$U$26,H9)</f>
        <v>5</v>
      </c>
      <c r="I22" s="80">
        <f>COUNTIF('376_Астрономия'!$U$3:$U$26,I9)</f>
        <v>6</v>
      </c>
      <c r="J22" s="80">
        <f>COUNTIF('376_Астрономия'!$U$3:$U$26,J9)</f>
        <v>2</v>
      </c>
      <c r="K22" s="80">
        <f>COUNTIF('376_Астрономия'!$U$3:$U$26,K9)</f>
        <v>0</v>
      </c>
      <c r="L22" s="80">
        <f>COUNTIF('376_Астрономия'!$U$3:$U$26,L9)</f>
        <v>0</v>
      </c>
      <c r="M22" s="80">
        <f>COUNTIF('376_Астрономия'!$U$3:$U$26,M9)</f>
        <v>0</v>
      </c>
      <c r="N22" s="80">
        <f>$A$22-SUM(C22:M22)</f>
        <v>0</v>
      </c>
      <c r="O22" s="176">
        <f>'376_Астрономия'!U27</f>
        <v>5.25</v>
      </c>
      <c r="P22" s="190">
        <f>SUM(C22:J22)/$A$22</f>
        <v>1</v>
      </c>
      <c r="Q22" s="191">
        <f>SUM(C22:G22)/$A$22</f>
        <v>0.4583333333333333</v>
      </c>
    </row>
    <row r="23" spans="1:17" ht="12.75">
      <c r="A23" s="74" t="s">
        <v>278</v>
      </c>
      <c r="B23" s="67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73"/>
      <c r="P23" s="174"/>
      <c r="Q23" s="175"/>
    </row>
    <row r="24" spans="1:17" ht="12.75">
      <c r="A24" s="287"/>
      <c r="B24" s="279" t="s">
        <v>315</v>
      </c>
      <c r="C24" s="5">
        <f>COUNTIF('377_Физика'!$K$3:$K$26,C9)</f>
        <v>0</v>
      </c>
      <c r="D24" s="5">
        <f>COUNTIF('377_Физика'!$K$3:$K$26,D9)</f>
        <v>0</v>
      </c>
      <c r="E24" s="5">
        <f>COUNTIF('377_Физика'!$K$3:$K$26,E9)</f>
        <v>3</v>
      </c>
      <c r="F24" s="5">
        <f>COUNTIF('377_Физика'!$K$3:$K$26,F9)</f>
        <v>14</v>
      </c>
      <c r="G24" s="5">
        <f>COUNTIF('377_Физика'!$K$3:$K$26,G9)</f>
        <v>1</v>
      </c>
      <c r="H24" s="5">
        <f>COUNTIF('377_Физика'!$K$3:$K$26,H9)</f>
        <v>3</v>
      </c>
      <c r="I24" s="5">
        <f>COUNTIF('377_Физика'!$K$3:$K$26,I9)</f>
        <v>1</v>
      </c>
      <c r="J24" s="5">
        <f>COUNTIF('377_Физика'!$K$3:$K$26,J9)</f>
        <v>2</v>
      </c>
      <c r="K24" s="5">
        <f>COUNTIF('377_Физика'!$K$3:$K$26,K9)</f>
        <v>0</v>
      </c>
      <c r="L24" s="5">
        <f>COUNTIF('377_Физика'!$K$3:$K$26,L9)</f>
        <v>0</v>
      </c>
      <c r="M24" s="5">
        <f>COUNTIF('377_Физика'!$K$3:$K$26,M9)</f>
        <v>0</v>
      </c>
      <c r="N24" s="5">
        <f>$A$25-SUM(C24:M24)</f>
        <v>0</v>
      </c>
      <c r="O24" s="277">
        <f>'377_Физика'!K27</f>
        <v>6.375</v>
      </c>
      <c r="P24" s="278">
        <f>SUM(C24:J24)/$A$25</f>
        <v>1</v>
      </c>
      <c r="Q24" s="281">
        <f>SUM(C24:G24)/$A$25</f>
        <v>0.75</v>
      </c>
    </row>
    <row r="25" spans="1:17" ht="13.5" thickBot="1">
      <c r="A25" s="286">
        <f>'377_Физика'!B26</f>
        <v>24</v>
      </c>
      <c r="B25" s="283" t="s">
        <v>316</v>
      </c>
      <c r="C25" s="80">
        <f>COUNTIF('377_Физика'!$R$3:$R$26,C9)</f>
        <v>0</v>
      </c>
      <c r="D25" s="80">
        <f>COUNTIF('377_Физика'!$R$3:$R$26,D9)</f>
        <v>0</v>
      </c>
      <c r="E25" s="80">
        <f>COUNTIF('377_Физика'!$R$3:$R$26,E9)</f>
        <v>6</v>
      </c>
      <c r="F25" s="80">
        <f>COUNTIF('377_Физика'!$R$3:$R$26,F9)</f>
        <v>6</v>
      </c>
      <c r="G25" s="80">
        <f>COUNTIF('377_Физика'!$R$3:$R$26,G9)</f>
        <v>4</v>
      </c>
      <c r="H25" s="80">
        <f>COUNTIF('377_Физика'!$R$3:$R$26,H9)</f>
        <v>3</v>
      </c>
      <c r="I25" s="80">
        <f>COUNTIF('377_Физика'!$R$3:$R$26,I9)</f>
        <v>2</v>
      </c>
      <c r="J25" s="80">
        <f>COUNTIF('377_Физика'!$R$3:$R$26,J9)</f>
        <v>2</v>
      </c>
      <c r="K25" s="80">
        <f>COUNTIF('377_Физика'!$R$3:$R$26,K9)</f>
        <v>0</v>
      </c>
      <c r="L25" s="80">
        <f>COUNTIF('377_Физика'!$R$3:$R$26,L9)</f>
        <v>1</v>
      </c>
      <c r="M25" s="80">
        <f>COUNTIF('377_Физика'!$R$3:$R$26,M9)</f>
        <v>0</v>
      </c>
      <c r="N25" s="80">
        <f>$A$25-SUM(C25:M25)</f>
        <v>0</v>
      </c>
      <c r="O25" s="176">
        <f>'377_Физика'!R27</f>
        <v>6</v>
      </c>
      <c r="P25" s="190">
        <f>SUM(C25:J25)/$A$25</f>
        <v>0.9583333333333334</v>
      </c>
      <c r="Q25" s="191">
        <f>SUM(C25:G25)/$A$25</f>
        <v>0.6666666666666666</v>
      </c>
    </row>
    <row r="26" spans="1:17" ht="12.75">
      <c r="A26" s="86" t="s">
        <v>279</v>
      </c>
      <c r="B26" s="66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173"/>
      <c r="P26" s="174"/>
      <c r="Q26" s="175"/>
    </row>
    <row r="27" spans="1:17" ht="12.75">
      <c r="A27" s="285"/>
      <c r="B27" s="279" t="s">
        <v>315</v>
      </c>
      <c r="C27" s="5">
        <f>COUNTIF('377_Астрономия'!$N$3:$N$26,C9)</f>
        <v>0</v>
      </c>
      <c r="D27" s="5">
        <f>COUNTIF('377_Астрономия'!$N$3:$N$26,D9)</f>
        <v>3</v>
      </c>
      <c r="E27" s="5">
        <f>COUNTIF('377_Астрономия'!$N$3:$N$26,E9)</f>
        <v>2</v>
      </c>
      <c r="F27" s="5">
        <f>COUNTIF('377_Астрономия'!$N$3:$N$26,F9)</f>
        <v>9</v>
      </c>
      <c r="G27" s="5">
        <f>COUNTIF('377_Астрономия'!$N$3:$N$26,G9)</f>
        <v>3</v>
      </c>
      <c r="H27" s="5">
        <f>COUNTIF('377_Астрономия'!$N$3:$N$26,H9)</f>
        <v>4</v>
      </c>
      <c r="I27" s="5">
        <f>COUNTIF('377_Астрономия'!$N$3:$N$26,I9)</f>
        <v>1</v>
      </c>
      <c r="J27" s="5">
        <f>COUNTIF('377_Астрономия'!$N$3:$N$26,J9)</f>
        <v>2</v>
      </c>
      <c r="K27" s="5">
        <f>COUNTIF('377_Астрономия'!$N$3:$N$26,K9)</f>
        <v>0</v>
      </c>
      <c r="L27" s="5">
        <f>COUNTIF('377_Астрономия'!$N$3:$N$26,L9)</f>
        <v>0</v>
      </c>
      <c r="M27" s="5">
        <f>COUNTIF('377_Астрономия'!$N$3:$N$26,M9)</f>
        <v>0</v>
      </c>
      <c r="N27" s="5">
        <f>$A$28-SUM(C27:M27)</f>
        <v>0</v>
      </c>
      <c r="O27" s="277">
        <f>'377_Астрономия'!N27</f>
        <v>6.416666666666667</v>
      </c>
      <c r="P27" s="278">
        <f>SUM(C27:J27)/$A$28</f>
        <v>1</v>
      </c>
      <c r="Q27" s="281">
        <f>SUM(C27:G27)/$A$28</f>
        <v>0.7083333333333334</v>
      </c>
    </row>
    <row r="28" spans="1:17" ht="13.5" thickBot="1">
      <c r="A28" s="286">
        <f>'377_Астрономия'!B26</f>
        <v>24</v>
      </c>
      <c r="B28" s="283" t="s">
        <v>316</v>
      </c>
      <c r="C28" s="80">
        <f>COUNTIF('377_Астрономия'!$W$3:$W$26,C9)</f>
        <v>0</v>
      </c>
      <c r="D28" s="80">
        <f>COUNTIF('377_Астрономия'!$W$3:$W$26,D9)</f>
        <v>0</v>
      </c>
      <c r="E28" s="80">
        <f>COUNTIF('377_Астрономия'!$W$3:$W$26,E9)</f>
        <v>2</v>
      </c>
      <c r="F28" s="80">
        <f>COUNTIF('377_Астрономия'!$W$3:$W$26,F9)</f>
        <v>9</v>
      </c>
      <c r="G28" s="80">
        <f>COUNTIF('377_Астрономия'!$W$3:$W$26,G9)</f>
        <v>6</v>
      </c>
      <c r="H28" s="80">
        <f>COUNTIF('377_Астрономия'!$W$3:$W$26,H9)</f>
        <v>4</v>
      </c>
      <c r="I28" s="80">
        <f>COUNTIF('377_Астрономия'!$W$3:$W$26,I9)</f>
        <v>1</v>
      </c>
      <c r="J28" s="80">
        <f>COUNTIF('377_Астрономия'!$W$3:$W$26,J9)</f>
        <v>2</v>
      </c>
      <c r="K28" s="80">
        <f>COUNTIF('377_Астрономия'!$W$3:$W$26,K9)</f>
        <v>0</v>
      </c>
      <c r="L28" s="80">
        <f>COUNTIF('377_Астрономия'!$W$3:$W$26,L9)</f>
        <v>0</v>
      </c>
      <c r="M28" s="80">
        <f>COUNTIF('377_Астрономия'!$W$3:$W$26,M9)</f>
        <v>0</v>
      </c>
      <c r="N28" s="80">
        <f>$A$28-SUM(C28:M28)</f>
        <v>0</v>
      </c>
      <c r="O28" s="176">
        <f>'377_Астрономия'!W27</f>
        <v>6.041666666666667</v>
      </c>
      <c r="P28" s="190">
        <f>SUM(C28:J28)/$A$28</f>
        <v>1</v>
      </c>
      <c r="Q28" s="191">
        <f>SUM(C28:G28)/$A$28</f>
        <v>0.7083333333333334</v>
      </c>
    </row>
    <row r="29" spans="1:17" ht="12.75">
      <c r="A29" s="86" t="s">
        <v>280</v>
      </c>
      <c r="B29" s="66" t="s">
        <v>1</v>
      </c>
      <c r="C29" s="79">
        <f>COUNTIF('378_Физика'!$K$3:$K$29,C9)</f>
        <v>0</v>
      </c>
      <c r="D29" s="79">
        <f>COUNTIF('378_Физика'!$K$3:$K$29,D9)</f>
        <v>0</v>
      </c>
      <c r="E29" s="79">
        <f>COUNTIF('378_Физика'!$K$3:$K$29,E9)</f>
        <v>0</v>
      </c>
      <c r="F29" s="79">
        <f>COUNTIF('378_Физика'!$K$3:$K$29,F9)</f>
        <v>0</v>
      </c>
      <c r="G29" s="79">
        <f>COUNTIF('378_Физика'!$K$3:$K$29,G9)</f>
        <v>4</v>
      </c>
      <c r="H29" s="79">
        <f>COUNTIF('378_Физика'!$K$3:$K$29,H9)</f>
        <v>12</v>
      </c>
      <c r="I29" s="79">
        <f>COUNTIF('378_Физика'!$K$3:$K$29,I9)</f>
        <v>7</v>
      </c>
      <c r="J29" s="79">
        <f>COUNTIF('378_Физика'!$K$3:$K$29,J9)</f>
        <v>4</v>
      </c>
      <c r="K29" s="79">
        <f>COUNTIF('378_Физика'!$K$3:$K$29,K9)</f>
        <v>0</v>
      </c>
      <c r="L29" s="79">
        <f>COUNTIF('378_Физика'!$K$3:$K$29,L9)</f>
        <v>0</v>
      </c>
      <c r="M29" s="79">
        <f>COUNTIF('378_Физика'!$K$3:$K$29,M9)</f>
        <v>0</v>
      </c>
      <c r="N29" s="79"/>
      <c r="O29" s="173">
        <f>'378_Физика'!K30</f>
        <v>4.592592592592593</v>
      </c>
      <c r="P29" s="174">
        <f>SUM(C29:J29)/$A$31</f>
        <v>1</v>
      </c>
      <c r="Q29" s="175">
        <f>SUM(C29:G29)/$A$31</f>
        <v>0.14814814814814814</v>
      </c>
    </row>
    <row r="30" spans="1:17" ht="12.75">
      <c r="A30" s="285"/>
      <c r="B30" s="279" t="s">
        <v>315</v>
      </c>
      <c r="C30" s="5">
        <f>COUNTIF('378_Физика'!$P$3:$P$29,C9)</f>
        <v>0</v>
      </c>
      <c r="D30" s="5">
        <f>COUNTIF('378_Физика'!$P$3:$P$29,D9)</f>
        <v>0</v>
      </c>
      <c r="E30" s="5">
        <f>COUNTIF('378_Физика'!$P$3:$P$29,E9)</f>
        <v>0</v>
      </c>
      <c r="F30" s="5">
        <f>COUNTIF('378_Физика'!$P$3:$P$29,F9)</f>
        <v>0</v>
      </c>
      <c r="G30" s="5">
        <f>COUNTIF('378_Физика'!$P$3:$P$29,G9)</f>
        <v>10</v>
      </c>
      <c r="H30" s="5">
        <f>COUNTIF('378_Физика'!$P$3:$P$29,H9)</f>
        <v>11</v>
      </c>
      <c r="I30" s="5">
        <f>COUNTIF('378_Физика'!$P$3:$P$29,I9)</f>
        <v>4</v>
      </c>
      <c r="J30" s="5">
        <f>COUNTIF('378_Физика'!$P$3:$P$29,J9)</f>
        <v>2</v>
      </c>
      <c r="K30" s="5">
        <f>COUNTIF('378_Физика'!$P$3:$P$29,K9)</f>
        <v>0</v>
      </c>
      <c r="L30" s="5">
        <f>COUNTIF('378_Физика'!$P$3:$P$29,L9)</f>
        <v>0</v>
      </c>
      <c r="M30" s="5">
        <f>COUNTIF('378_Физика'!$P$3:$P$29,M9)</f>
        <v>0</v>
      </c>
      <c r="N30" s="5">
        <f>$A$31-SUM(C30:M30)</f>
        <v>0</v>
      </c>
      <c r="O30" s="277">
        <f>'378_Физика'!P30</f>
        <v>5.074074074074074</v>
      </c>
      <c r="P30" s="278">
        <f>SUM(C30:J30)/$A$31</f>
        <v>1</v>
      </c>
      <c r="Q30" s="281">
        <f>SUM(C30:G30)/$A$31</f>
        <v>0.37037037037037035</v>
      </c>
    </row>
    <row r="31" spans="1:17" ht="13.5" thickBot="1">
      <c r="A31" s="286">
        <f>'378_Физика'!B29</f>
        <v>27</v>
      </c>
      <c r="B31" s="283" t="s">
        <v>316</v>
      </c>
      <c r="C31" s="80">
        <f>COUNTIF('378_Физика'!$AH$3:$AH$29,C9)</f>
        <v>0</v>
      </c>
      <c r="D31" s="80">
        <f>COUNTIF('378_Физика'!$AH$3:$AH$29,D9)</f>
        <v>0</v>
      </c>
      <c r="E31" s="80">
        <f>COUNTIF('378_Физика'!$AH$3:$AH$29,E9)</f>
        <v>1</v>
      </c>
      <c r="F31" s="80">
        <f>COUNTIF('378_Физика'!$AH$3:$AH$29,F9)</f>
        <v>2</v>
      </c>
      <c r="G31" s="80">
        <f>COUNTIF('378_Физика'!$AH$3:$AH$29,G9)</f>
        <v>12</v>
      </c>
      <c r="H31" s="80">
        <f>COUNTIF('378_Физика'!$AH$3:$AH$29,H9)</f>
        <v>4</v>
      </c>
      <c r="I31" s="80">
        <f>COUNTIF('378_Физика'!$AH$3:$AH$29,I9)</f>
        <v>7</v>
      </c>
      <c r="J31" s="80">
        <f>COUNTIF('378_Физика'!$AH$3:$AH$29,J9)</f>
        <v>1</v>
      </c>
      <c r="K31" s="80">
        <f>COUNTIF('378_Физика'!$AH$3:$AH$29,K9)</f>
        <v>0</v>
      </c>
      <c r="L31" s="80">
        <f>COUNTIF('378_Физика'!$AH$3:$AH$29,L9)</f>
        <v>0</v>
      </c>
      <c r="M31" s="80">
        <f>COUNTIF('378_Физика'!$AH$3:$AH$29,M9)</f>
        <v>0</v>
      </c>
      <c r="N31" s="80">
        <f>$A$31-SUM(C31:M31)</f>
        <v>0</v>
      </c>
      <c r="O31" s="176">
        <f>'378_Физика'!AH30</f>
        <v>5.37037037037037</v>
      </c>
      <c r="P31" s="190">
        <f>SUM(C31:J31)/$A$31</f>
        <v>1</v>
      </c>
      <c r="Q31" s="191">
        <f>SUM(C31:G31)/$A$31</f>
        <v>0.5555555555555556</v>
      </c>
    </row>
    <row r="32" spans="1:17" ht="12.75">
      <c r="A32" s="86" t="s">
        <v>281</v>
      </c>
      <c r="B32" s="66" t="s">
        <v>1</v>
      </c>
      <c r="C32" s="79">
        <f>COUNTIF('379_Физика'!$K$3:$K$28,C9)</f>
        <v>0</v>
      </c>
      <c r="D32" s="79">
        <f>COUNTIF('379_Физика'!$K$3:$K$28,D9)</f>
        <v>0</v>
      </c>
      <c r="E32" s="79">
        <f>COUNTIF('379_Физика'!$K$3:$K$28,E9)</f>
        <v>0</v>
      </c>
      <c r="F32" s="79">
        <f>COUNTIF('379_Физика'!$K$3:$K$28,F9)</f>
        <v>2</v>
      </c>
      <c r="G32" s="79">
        <f>COUNTIF('379_Физика'!$K$3:$K$28,G9)</f>
        <v>2</v>
      </c>
      <c r="H32" s="79">
        <f>COUNTIF('379_Физика'!$K$3:$K$28,H9)</f>
        <v>5</v>
      </c>
      <c r="I32" s="79">
        <f>COUNTIF('379_Физика'!$K$3:$K$28,I9)</f>
        <v>3</v>
      </c>
      <c r="J32" s="79">
        <f>COUNTIF('379_Физика'!$K$3:$K$28,J9)</f>
        <v>14</v>
      </c>
      <c r="K32" s="79">
        <f>COUNTIF('379_Физика'!$K$3:$K$28,K9)</f>
        <v>0</v>
      </c>
      <c r="L32" s="79">
        <f>COUNTIF('379_Физика'!$K$3:$K$28,L9)</f>
        <v>0</v>
      </c>
      <c r="M32" s="79">
        <f>COUNTIF('379_Физика'!$K$3:$K$28,M9)</f>
        <v>0</v>
      </c>
      <c r="N32" s="79"/>
      <c r="O32" s="173">
        <f>'379_Физика'!K29</f>
        <v>4.038461538461538</v>
      </c>
      <c r="P32" s="174">
        <f>SUM(C32:J32)/$A$34</f>
        <v>1</v>
      </c>
      <c r="Q32" s="175">
        <f>SUM(C32:G32)/$A$34</f>
        <v>0.15384615384615385</v>
      </c>
    </row>
    <row r="33" spans="1:17" ht="12.75">
      <c r="A33" s="285"/>
      <c r="B33" s="279" t="s">
        <v>315</v>
      </c>
      <c r="C33" s="5">
        <f>COUNTIF('379_Физика'!$Q$3:$Q$28,C9)</f>
        <v>0</v>
      </c>
      <c r="D33" s="5">
        <f>COUNTIF('379_Физика'!$Q$3:$Q$28,D9)</f>
        <v>0</v>
      </c>
      <c r="E33" s="5">
        <f>COUNTIF('379_Физика'!$Q$3:$Q$28,E9)</f>
        <v>0</v>
      </c>
      <c r="F33" s="5">
        <f>COUNTIF('379_Физика'!$Q$3:$Q$28,F9)</f>
        <v>2</v>
      </c>
      <c r="G33" s="5">
        <f>COUNTIF('379_Физика'!$Q$3:$Q$28,G9)</f>
        <v>3</v>
      </c>
      <c r="H33" s="5">
        <f>COUNTIF('379_Физика'!$Q$3:$Q$28,H9)</f>
        <v>4</v>
      </c>
      <c r="I33" s="5">
        <f>COUNTIF('379_Физика'!$Q$3:$Q$28,I9)</f>
        <v>7</v>
      </c>
      <c r="J33" s="5">
        <f>COUNTIF('379_Физика'!$Q$3:$Q$28,J9)</f>
        <v>10</v>
      </c>
      <c r="K33" s="5">
        <f>COUNTIF('379_Физика'!$Q$3:$Q$28,K9)</f>
        <v>0</v>
      </c>
      <c r="L33" s="5">
        <f>COUNTIF('379_Физика'!$Q$3:$Q$28,L9)</f>
        <v>0</v>
      </c>
      <c r="M33" s="5">
        <f>COUNTIF('379_Физика'!$Q$3:$Q$28,M9)</f>
        <v>0</v>
      </c>
      <c r="N33" s="5">
        <f>$A$34-SUM(C33:M33)</f>
        <v>0</v>
      </c>
      <c r="O33" s="277">
        <f>'379_Физика'!Q29</f>
        <v>4.230769230769231</v>
      </c>
      <c r="P33" s="278">
        <f>SUM(C33:J33)/$A$34</f>
        <v>1</v>
      </c>
      <c r="Q33" s="281">
        <f>SUM(C33:G33)/$A$34</f>
        <v>0.19230769230769232</v>
      </c>
    </row>
    <row r="34" spans="1:17" ht="13.5" thickBot="1">
      <c r="A34" s="286">
        <f>'379_Физика'!B28</f>
        <v>26</v>
      </c>
      <c r="B34" s="283" t="s">
        <v>316</v>
      </c>
      <c r="C34" s="80">
        <f>COUNTIF('379_Физика'!$AI$3:$AI$28,C9)</f>
        <v>0</v>
      </c>
      <c r="D34" s="80">
        <f>COUNTIF('379_Физика'!$AI$3:$AI$28,D9)</f>
        <v>0</v>
      </c>
      <c r="E34" s="80">
        <f>COUNTIF('379_Физика'!$AI$3:$AI$28,E9)</f>
        <v>0</v>
      </c>
      <c r="F34" s="80">
        <f>COUNTIF('379_Физика'!$AI$3:$AI$28,F9)</f>
        <v>0</v>
      </c>
      <c r="G34" s="80">
        <f>COUNTIF('379_Физика'!$AI$3:$AI$28,G9)</f>
        <v>2</v>
      </c>
      <c r="H34" s="80">
        <f>COUNTIF('379_Физика'!$AI$3:$AI$28,H9)</f>
        <v>5</v>
      </c>
      <c r="I34" s="80">
        <f>COUNTIF('379_Физика'!$AI$3:$AI$28,I9)</f>
        <v>3</v>
      </c>
      <c r="J34" s="80">
        <f>COUNTIF('379_Физика'!$AI$3:$AI$28,J9)</f>
        <v>13</v>
      </c>
      <c r="K34" s="80">
        <f>COUNTIF('379_Физика'!$AI$3:$AI$28,K9)</f>
        <v>3</v>
      </c>
      <c r="L34" s="80">
        <f>COUNTIF('379_Физика'!$AI$3:$AI$28,L9)</f>
        <v>0</v>
      </c>
      <c r="M34" s="80">
        <f>COUNTIF('379_Физика'!$AI$3:$AI$28,M9)</f>
        <v>0</v>
      </c>
      <c r="N34" s="80">
        <f>$A$34-SUM(C34:M34)</f>
        <v>0</v>
      </c>
      <c r="O34" s="176">
        <f>'379_Физика'!AI29</f>
        <v>3.6153846153846154</v>
      </c>
      <c r="P34" s="190">
        <f>SUM(C34:J34)/$A$34</f>
        <v>0.8846153846153846</v>
      </c>
      <c r="Q34" s="191">
        <f>SUM(C34:G34)/$A$34</f>
        <v>0.07692307692307693</v>
      </c>
    </row>
    <row r="35" spans="1:17" ht="12.75">
      <c r="A35" s="74" t="s">
        <v>282</v>
      </c>
      <c r="B35" s="67" t="s">
        <v>1</v>
      </c>
      <c r="C35" s="79">
        <f>COUNTIF('380_Физика'!$K$3:$K$28,C9)</f>
        <v>0</v>
      </c>
      <c r="D35" s="79">
        <f>COUNTIF('380_Физика'!$K$3:$K$28,D9)</f>
        <v>0</v>
      </c>
      <c r="E35" s="79">
        <f>COUNTIF('380_Физика'!$K$3:$K$28,E9)</f>
        <v>0</v>
      </c>
      <c r="F35" s="79">
        <f>COUNTIF('380_Физика'!$K$3:$K$28,F9)</f>
        <v>1</v>
      </c>
      <c r="G35" s="79">
        <f>COUNTIF('380_Физика'!$K$3:$K$28,G9)</f>
        <v>8</v>
      </c>
      <c r="H35" s="79">
        <f>COUNTIF('380_Физика'!$K$3:$K$28,H9)</f>
        <v>4</v>
      </c>
      <c r="I35" s="79">
        <f>COUNTIF('380_Физика'!$K$3:$K$28,I9)</f>
        <v>5</v>
      </c>
      <c r="J35" s="79">
        <f>COUNTIF('380_Физика'!$K$3:$K$28,J9)</f>
        <v>8</v>
      </c>
      <c r="K35" s="79">
        <f>COUNTIF('380_Физика'!$K$3:$K$28,K9)</f>
        <v>0</v>
      </c>
      <c r="L35" s="79">
        <f>COUNTIF('380_Физика'!$K$3:$K$28,L9)</f>
        <v>0</v>
      </c>
      <c r="M35" s="79">
        <f>COUNTIF('380_Физика'!$K$3:$K$28,M9)</f>
        <v>0</v>
      </c>
      <c r="N35" s="79">
        <f>$A$37-SUM(C35:M35)</f>
        <v>0</v>
      </c>
      <c r="O35" s="173">
        <f>'380_Физика'!K29</f>
        <v>4.576923076923077</v>
      </c>
      <c r="P35" s="174">
        <f>SUM(C35:J35)/$A$37</f>
        <v>1</v>
      </c>
      <c r="Q35" s="175">
        <f>SUM(C35:G35)/$A$37</f>
        <v>0.34615384615384615</v>
      </c>
    </row>
    <row r="36" spans="1:17" ht="12.75">
      <c r="A36" s="287"/>
      <c r="B36" s="279" t="s">
        <v>315</v>
      </c>
      <c r="C36" s="5">
        <f>COUNTIF('380_Физика'!$R$3:$R$28,C9)</f>
        <v>0</v>
      </c>
      <c r="D36" s="5">
        <f>COUNTIF('380_Физика'!$R$3:$R$28,D9)</f>
        <v>0</v>
      </c>
      <c r="E36" s="5">
        <f>COUNTIF('380_Физика'!$R$3:$R$28,E9)</f>
        <v>2</v>
      </c>
      <c r="F36" s="5">
        <f>COUNTIF('380_Физика'!$R$3:$R$28,F9)</f>
        <v>3</v>
      </c>
      <c r="G36" s="5">
        <f>COUNTIF('380_Физика'!$R$3:$R$28,G9)</f>
        <v>14</v>
      </c>
      <c r="H36" s="5">
        <f>COUNTIF('380_Физика'!$R$3:$R$28,H9)</f>
        <v>3</v>
      </c>
      <c r="I36" s="5">
        <f>COUNTIF('380_Физика'!$R$3:$R$28,I9)</f>
        <v>3</v>
      </c>
      <c r="J36" s="5">
        <f>COUNTIF('380_Физика'!$R$3:$R$28,J9)</f>
        <v>1</v>
      </c>
      <c r="K36" s="5">
        <f>COUNTIF('380_Физика'!$R$3:$R$28,K9)</f>
        <v>0</v>
      </c>
      <c r="L36" s="5">
        <f>COUNTIF('380_Физика'!$R$3:$R$28,L9)</f>
        <v>0</v>
      </c>
      <c r="M36" s="5">
        <f>COUNTIF('380_Физика'!$R$3:$R$28,M9)</f>
        <v>0</v>
      </c>
      <c r="N36" s="5">
        <f>$A$37-SUM(C36:M36)</f>
        <v>0</v>
      </c>
      <c r="O36" s="277">
        <f>'380_Физика'!R29</f>
        <v>5.8076923076923075</v>
      </c>
      <c r="P36" s="278">
        <f>SUM(C36:J36)/$A$37</f>
        <v>1</v>
      </c>
      <c r="Q36" s="281">
        <f>SUM(C36:G36)/$A$37</f>
        <v>0.7307692307692307</v>
      </c>
    </row>
    <row r="37" spans="1:17" ht="13.5" thickBot="1">
      <c r="A37" s="286">
        <f>'380_Физика'!B28</f>
        <v>26</v>
      </c>
      <c r="B37" s="283" t="s">
        <v>316</v>
      </c>
      <c r="C37" s="80">
        <f>COUNTIF('380_Физика'!$AF$3:$AF$28,C9)</f>
        <v>1</v>
      </c>
      <c r="D37" s="80">
        <f>COUNTIF('380_Физика'!$AF$3:$AF$28,D9)</f>
        <v>2</v>
      </c>
      <c r="E37" s="80">
        <f>COUNTIF('380_Физика'!$AF$3:$AF$28,E9)</f>
        <v>4</v>
      </c>
      <c r="F37" s="80">
        <f>COUNTIF('380_Физика'!$AF$3:$AF$28,F9)</f>
        <v>6</v>
      </c>
      <c r="G37" s="80">
        <f>COUNTIF('380_Физика'!$AF$3:$AF$28,G9)</f>
        <v>6</v>
      </c>
      <c r="H37" s="80">
        <f>COUNTIF('380_Физика'!$AF$3:$AF$28,H9)</f>
        <v>4</v>
      </c>
      <c r="I37" s="80">
        <f>COUNTIF('380_Физика'!$AF$3:$AF$28,I9)</f>
        <v>1</v>
      </c>
      <c r="J37" s="80">
        <f>COUNTIF('380_Физика'!$AF$3:$AF$28,J9)</f>
        <v>1</v>
      </c>
      <c r="K37" s="80">
        <f>COUNTIF('380_Физика'!$AF$3:$AF$28,K9)</f>
        <v>1</v>
      </c>
      <c r="L37" s="80">
        <f>COUNTIF('380_Физика'!$AF$3:$AF$28,L9)</f>
        <v>0</v>
      </c>
      <c r="M37" s="80">
        <f>COUNTIF('380_Физика'!$AF$3:$AF$28,M9)</f>
        <v>0</v>
      </c>
      <c r="N37" s="80">
        <f>$A$37-SUM(C37:M37)</f>
        <v>0</v>
      </c>
      <c r="O37" s="176">
        <f>'380_Физика'!AF29</f>
        <v>6.423076923076923</v>
      </c>
      <c r="P37" s="190">
        <f>SUM(C37:J37)/$A$37</f>
        <v>0.9615384615384616</v>
      </c>
      <c r="Q37" s="191">
        <f>SUM(C37:G37)/$A$37</f>
        <v>0.7307692307692307</v>
      </c>
    </row>
    <row r="38" spans="1:17" ht="13.5" thickBot="1">
      <c r="A38" s="288" t="s">
        <v>318</v>
      </c>
      <c r="B38" s="289">
        <f>B39</f>
        <v>219</v>
      </c>
      <c r="C38" s="289">
        <f>SUM(C12,C15,C18,C21,C24,C27,C30,C33,C36)</f>
        <v>0</v>
      </c>
      <c r="D38" s="289">
        <f aca="true" t="shared" si="0" ref="D38:M38">SUM(D12,D15,D18,D21,D24,D27,D30,D33,D36)</f>
        <v>4</v>
      </c>
      <c r="E38" s="289">
        <f t="shared" si="0"/>
        <v>13</v>
      </c>
      <c r="F38" s="289">
        <f t="shared" si="0"/>
        <v>44</v>
      </c>
      <c r="G38" s="289">
        <f t="shared" si="0"/>
        <v>62</v>
      </c>
      <c r="H38" s="289">
        <f t="shared" si="0"/>
        <v>47</v>
      </c>
      <c r="I38" s="289">
        <f t="shared" si="0"/>
        <v>29</v>
      </c>
      <c r="J38" s="289">
        <f t="shared" si="0"/>
        <v>20</v>
      </c>
      <c r="K38" s="289">
        <f t="shared" si="0"/>
        <v>0</v>
      </c>
      <c r="L38" s="289">
        <f t="shared" si="0"/>
        <v>0</v>
      </c>
      <c r="M38" s="289">
        <f t="shared" si="0"/>
        <v>0</v>
      </c>
      <c r="N38" s="290">
        <f>B38-SUM(C38:M38)</f>
        <v>0</v>
      </c>
      <c r="O38" s="291">
        <f>AVERAGE(O12,O15,O18,O21,O24,O27,O30,O33,O36)</f>
        <v>5.64507971452416</v>
      </c>
      <c r="P38" s="292">
        <f>SUM(C38:J38)/$B$39</f>
        <v>1</v>
      </c>
      <c r="Q38" s="293">
        <f>SUM(C38:G38)/$B$39</f>
        <v>0.5616438356164384</v>
      </c>
    </row>
    <row r="39" spans="1:17" s="118" customFormat="1" ht="13.5" thickBot="1">
      <c r="A39" s="288" t="s">
        <v>317</v>
      </c>
      <c r="B39" s="289">
        <f>SUM(A13:A37)</f>
        <v>219</v>
      </c>
      <c r="C39" s="289">
        <f>SUM(C13,C16,C19,C22,C25,C28,C31,C34,C37)</f>
        <v>2</v>
      </c>
      <c r="D39" s="289">
        <f aca="true" t="shared" si="1" ref="D39:M39">SUM(D13,D16,D19,D22,D25,D28,D31,D34,D37)</f>
        <v>3</v>
      </c>
      <c r="E39" s="289">
        <f t="shared" si="1"/>
        <v>14</v>
      </c>
      <c r="F39" s="289">
        <f t="shared" si="1"/>
        <v>49</v>
      </c>
      <c r="G39" s="289">
        <f t="shared" si="1"/>
        <v>55</v>
      </c>
      <c r="H39" s="289">
        <f t="shared" si="1"/>
        <v>42</v>
      </c>
      <c r="I39" s="289">
        <f t="shared" si="1"/>
        <v>26</v>
      </c>
      <c r="J39" s="289">
        <f t="shared" si="1"/>
        <v>23</v>
      </c>
      <c r="K39" s="289">
        <f t="shared" si="1"/>
        <v>4</v>
      </c>
      <c r="L39" s="289">
        <f t="shared" si="1"/>
        <v>1</v>
      </c>
      <c r="M39" s="289">
        <f t="shared" si="1"/>
        <v>0</v>
      </c>
      <c r="N39" s="289">
        <f>$B$39-SUM(C39:M39)</f>
        <v>0</v>
      </c>
      <c r="O39" s="291">
        <f>AVERAGE(O13,O16,O19,O22,O25,O28,O31,O34,O37)</f>
        <v>5.61150320872543</v>
      </c>
      <c r="P39" s="292">
        <f>SUM(C39:I39)/$B$39</f>
        <v>0.8721461187214612</v>
      </c>
      <c r="Q39" s="293">
        <f>SUM(C39:G39)/$B$39</f>
        <v>0.5616438356164384</v>
      </c>
    </row>
    <row r="40" ht="12.75">
      <c r="O40" s="177"/>
    </row>
    <row r="41" spans="1:15" ht="12.75">
      <c r="A41" s="9" t="s">
        <v>14</v>
      </c>
      <c r="B41" s="10">
        <f ca="1">TODAY()</f>
        <v>44377</v>
      </c>
      <c r="N41" s="9" t="s">
        <v>15</v>
      </c>
      <c r="O41" s="166" t="s">
        <v>16</v>
      </c>
    </row>
    <row r="43" spans="3:13" ht="15.75">
      <c r="C43" s="494" t="s">
        <v>22</v>
      </c>
      <c r="D43" s="494"/>
      <c r="J43" s="494" t="s">
        <v>24</v>
      </c>
      <c r="K43" s="494"/>
      <c r="L43" s="23"/>
      <c r="M43" s="23"/>
    </row>
    <row r="44" spans="1:15" ht="12.75">
      <c r="A44" s="1" t="s">
        <v>34</v>
      </c>
      <c r="B44" s="22">
        <f>C39+D39</f>
        <v>5</v>
      </c>
      <c r="C44" s="5" t="s">
        <v>21</v>
      </c>
      <c r="D44" s="499" t="s">
        <v>20</v>
      </c>
      <c r="E44" s="499"/>
      <c r="F44" s="499" t="s">
        <v>23</v>
      </c>
      <c r="G44" s="499"/>
      <c r="H44" s="499"/>
      <c r="J44" s="5" t="s">
        <v>21</v>
      </c>
      <c r="K44" s="496" t="s">
        <v>20</v>
      </c>
      <c r="L44" s="497"/>
      <c r="M44" s="499" t="s">
        <v>23</v>
      </c>
      <c r="N44" s="499"/>
      <c r="O44" s="499"/>
    </row>
    <row r="45" spans="1:15" ht="12.75">
      <c r="A45" s="1" t="s">
        <v>320</v>
      </c>
      <c r="B45" s="22">
        <f>E39+F39+G39</f>
        <v>118</v>
      </c>
      <c r="C45" s="15">
        <f>MAX('375_Физика'!S3:S24)</f>
        <v>7.25</v>
      </c>
      <c r="D45" s="487" t="str">
        <f>A11</f>
        <v>375 Физика</v>
      </c>
      <c r="E45" s="489"/>
      <c r="F45" s="487" t="str">
        <f>VLOOKUP(C45,'375_Физика'!A3:C24,3,0)</f>
        <v>Ушко Вадим</v>
      </c>
      <c r="G45" s="488"/>
      <c r="H45" s="489"/>
      <c r="J45" s="16">
        <f>MIN('375_Физика'!S3:S24)</f>
        <v>3</v>
      </c>
      <c r="K45" s="20" t="str">
        <f>D45</f>
        <v>375 Физика</v>
      </c>
      <c r="L45" s="32"/>
      <c r="M45" s="495" t="str">
        <f>VLOOKUP(J45,'375_Физика'!A3:C24,3,0)</f>
        <v>Поварго Никита</v>
      </c>
      <c r="N45" s="495"/>
      <c r="O45" s="495"/>
    </row>
    <row r="46" spans="1:15" ht="12.75">
      <c r="A46" s="1" t="s">
        <v>284</v>
      </c>
      <c r="B46" s="22">
        <f>SUM(H39:J39)</f>
        <v>91</v>
      </c>
      <c r="C46" s="15">
        <f>MAX('375_Астрономия'!T3:T24)</f>
        <v>7</v>
      </c>
      <c r="D46" s="498" t="str">
        <f>A14</f>
        <v>375 Астрономия</v>
      </c>
      <c r="E46" s="498"/>
      <c r="F46" s="487" t="str">
        <f>VLOOKUP(C46,'375_Астрономия'!A3:C24,3,0)</f>
        <v>Санюк Антон</v>
      </c>
      <c r="G46" s="488"/>
      <c r="H46" s="489"/>
      <c r="J46" s="16">
        <f>MIN('375_Астрономия'!T3:T24)</f>
        <v>3.1666666666666665</v>
      </c>
      <c r="K46" s="20" t="str">
        <f>D46</f>
        <v>375 Астрономия</v>
      </c>
      <c r="L46" s="32"/>
      <c r="M46" s="495" t="str">
        <f>VLOOKUP(J46,'375_Астрономия'!A3:C24,3,0)</f>
        <v>Поварго Никита</v>
      </c>
      <c r="N46" s="495"/>
      <c r="O46" s="495"/>
    </row>
    <row r="47" spans="1:15" ht="12.75">
      <c r="A47" s="1" t="s">
        <v>285</v>
      </c>
      <c r="B47" s="22">
        <f>SUM(K39:M39)</f>
        <v>5</v>
      </c>
      <c r="C47" s="15">
        <f>MAX('376_Физика'!Q3:Q26)</f>
        <v>8.5</v>
      </c>
      <c r="D47" s="498" t="str">
        <f>A17</f>
        <v>376 Физика</v>
      </c>
      <c r="E47" s="498"/>
      <c r="F47" s="487" t="str">
        <f>VLOOKUP(C47,'376_Физика'!A3:C26,3,0)</f>
        <v>Бранцевич Александр</v>
      </c>
      <c r="G47" s="488"/>
      <c r="H47" s="489"/>
      <c r="J47" s="16">
        <f>MIN('376_Физика'!Q3:Q26)</f>
        <v>3.5</v>
      </c>
      <c r="K47" s="20" t="str">
        <f aca="true" t="shared" si="2" ref="K47:K52">D47</f>
        <v>376 Физика</v>
      </c>
      <c r="L47" s="32"/>
      <c r="M47" s="495" t="str">
        <f>VLOOKUP(J47,'376_Физика'!A3:C26,3,0)</f>
        <v>Соболевский Евгений</v>
      </c>
      <c r="N47" s="495"/>
      <c r="O47" s="495"/>
    </row>
    <row r="48" spans="1:15" ht="12.75">
      <c r="A48" s="1" t="s">
        <v>35</v>
      </c>
      <c r="B48" s="22">
        <f>N39</f>
        <v>0</v>
      </c>
      <c r="C48" s="15">
        <f>MAX('376_Астрономия'!T3:T26)</f>
        <v>9.833333333333334</v>
      </c>
      <c r="D48" s="487" t="str">
        <f>A20</f>
        <v>376 Астрономия</v>
      </c>
      <c r="E48" s="489"/>
      <c r="F48" s="487" t="str">
        <f>VLOOKUP(C48,'376_Астрономия'!A3:C26,3,0)</f>
        <v>Бранцевич Александр</v>
      </c>
      <c r="G48" s="488"/>
      <c r="H48" s="489"/>
      <c r="J48" s="16">
        <f>MIN('376_Астрономия'!T3:T26)</f>
        <v>2.6666666666666665</v>
      </c>
      <c r="K48" s="20" t="str">
        <f t="shared" si="2"/>
        <v>376 Астрономия</v>
      </c>
      <c r="L48" s="32"/>
      <c r="M48" s="495" t="str">
        <f>VLOOKUP(J48,'376_Астрономия'!A3:C26,3,0)</f>
        <v>Борис Матвей</v>
      </c>
      <c r="N48" s="495"/>
      <c r="O48" s="495"/>
    </row>
    <row r="49" spans="3:15" ht="12.75">
      <c r="C49" s="15">
        <f>MAX('377_Физика'!Q3:Q26)</f>
        <v>7.75</v>
      </c>
      <c r="D49" s="498" t="str">
        <f>A23</f>
        <v>377 Физика</v>
      </c>
      <c r="E49" s="498"/>
      <c r="F49" s="487" t="str">
        <f>VLOOKUP(C49,'377_Физика'!A3:C26,3,0)</f>
        <v>Полубояринова Ангелина</v>
      </c>
      <c r="G49" s="488"/>
      <c r="H49" s="489"/>
      <c r="J49" s="16">
        <f>MIN('377_Физика'!Q3:Q26)</f>
        <v>1</v>
      </c>
      <c r="K49" s="20" t="str">
        <f>D49</f>
        <v>377 Физика</v>
      </c>
      <c r="L49" s="32"/>
      <c r="M49" s="495" t="str">
        <f>VLOOKUP(J49,'377_Физика'!A3:C26,3,0)</f>
        <v>Орловская Мария</v>
      </c>
      <c r="N49" s="495"/>
      <c r="O49" s="495"/>
    </row>
    <row r="50" spans="3:15" ht="12.75">
      <c r="C50" s="15">
        <f>MAX('377_Астрономия'!V3:V26)</f>
        <v>7.714285714285714</v>
      </c>
      <c r="D50" s="487" t="str">
        <f>A26</f>
        <v>377 Астрономия</v>
      </c>
      <c r="E50" s="489"/>
      <c r="F50" s="487" t="str">
        <f>VLOOKUP(C50,'377_Астрономия'!A3:C26,3,0)</f>
        <v>Пекша Роман</v>
      </c>
      <c r="G50" s="488"/>
      <c r="H50" s="489"/>
      <c r="J50" s="16">
        <f>MIN('377_Астрономия'!V3:V26)</f>
        <v>2.6</v>
      </c>
      <c r="K50" s="20" t="str">
        <f>D50</f>
        <v>377 Астрономия</v>
      </c>
      <c r="L50" s="32"/>
      <c r="M50" s="495" t="str">
        <f>VLOOKUP(J50,'377_Астрономия'!A3:C26,3,0)</f>
        <v>Банцевич Вероника</v>
      </c>
      <c r="N50" s="495"/>
      <c r="O50" s="495"/>
    </row>
    <row r="51" spans="3:15" ht="12.75">
      <c r="C51" s="15">
        <f>MAX('378_Физика'!AG3:AG29)</f>
        <v>7.25</v>
      </c>
      <c r="D51" s="20" t="str">
        <f>A29</f>
        <v>378 Физика</v>
      </c>
      <c r="E51" s="21"/>
      <c r="F51" s="487" t="str">
        <f>VLOOKUP(C51,'378_Физика'!A3:C29,3,0)</f>
        <v>Минин Александр</v>
      </c>
      <c r="G51" s="488"/>
      <c r="H51" s="489"/>
      <c r="J51" s="16">
        <f>MIN('378_Физика'!AG3:AG29)</f>
        <v>2.7142857142857144</v>
      </c>
      <c r="K51" s="20" t="str">
        <f>D51</f>
        <v>378 Физика</v>
      </c>
      <c r="L51" s="32"/>
      <c r="M51" s="495" t="str">
        <f>VLOOKUP(J51,'378_Физика'!A3:C29,3,0)</f>
        <v>Курносов Александр</v>
      </c>
      <c r="N51" s="495"/>
      <c r="O51" s="495"/>
    </row>
    <row r="52" spans="3:15" ht="12.75">
      <c r="C52" s="15">
        <f>MAX('379_Физика'!AH3:AH28)</f>
        <v>5.75</v>
      </c>
      <c r="D52" s="487" t="str">
        <f>A32</f>
        <v>379 Физика</v>
      </c>
      <c r="E52" s="489"/>
      <c r="F52" s="487" t="str">
        <f>VLOOKUP(C52,'379_Физика'!A3:C28,3,0)</f>
        <v>Курносов Павел</v>
      </c>
      <c r="G52" s="488"/>
      <c r="H52" s="489"/>
      <c r="J52" s="16">
        <f>MIN('379_Физика'!AH3:AH28)</f>
        <v>1.7142857142857142</v>
      </c>
      <c r="K52" s="20" t="str">
        <f t="shared" si="2"/>
        <v>379 Физика</v>
      </c>
      <c r="L52" s="32"/>
      <c r="M52" s="495" t="str">
        <f>VLOOKUP(J52,'379_Физика'!A3:C28,3,0)</f>
        <v>Пищик Роман</v>
      </c>
      <c r="N52" s="495"/>
      <c r="O52" s="495"/>
    </row>
    <row r="53" spans="3:15" ht="12.75">
      <c r="C53" s="15">
        <f>MAX('380_Физика'!AE3:AE28)</f>
        <v>9.5</v>
      </c>
      <c r="D53" s="487" t="str">
        <f>A35</f>
        <v>380 Физика</v>
      </c>
      <c r="E53" s="489"/>
      <c r="F53" s="487" t="str">
        <f>VLOOKUP(C53,'380_Физика'!A3:C28,3,0)</f>
        <v>Литвинко Яна</v>
      </c>
      <c r="G53" s="488"/>
      <c r="H53" s="489"/>
      <c r="J53" s="16">
        <f>MIN('380_Физика'!AE3:AE28)</f>
        <v>1.75</v>
      </c>
      <c r="K53" s="20" t="str">
        <f>D53</f>
        <v>380 Физика</v>
      </c>
      <c r="L53" s="32"/>
      <c r="M53" s="495" t="str">
        <f>VLOOKUP(J53,'380_Физика'!A3:C28,3,0)</f>
        <v>Свидерская Ольга</v>
      </c>
      <c r="N53" s="495"/>
      <c r="O53" s="495"/>
    </row>
    <row r="54" spans="2:18" ht="12.75">
      <c r="B54" s="192" t="s">
        <v>25</v>
      </c>
      <c r="C54" s="193">
        <f>MAX(C46:C53)</f>
        <v>9.833333333333334</v>
      </c>
      <c r="D54" s="502" t="str">
        <f>VLOOKUP(C54,C46:E53,2,0)</f>
        <v>376 Астрономия</v>
      </c>
      <c r="E54" s="503"/>
      <c r="F54" s="194" t="str">
        <f>VLOOKUP(C54,C46:H53,4,0)</f>
        <v>Бранцевич Александр</v>
      </c>
      <c r="G54" s="195"/>
      <c r="H54" s="196"/>
      <c r="I54" s="133"/>
      <c r="J54" s="197">
        <f>MIN(J46:J53)</f>
        <v>1</v>
      </c>
      <c r="K54" s="500" t="str">
        <f>VLOOKUP(J54,J46:L53,2,0)</f>
        <v>377 Физика</v>
      </c>
      <c r="L54" s="501"/>
      <c r="M54" s="461" t="str">
        <f>VLOOKUP(J54,J46:M53,4,0)</f>
        <v>Орловская Мария</v>
      </c>
      <c r="N54" s="461"/>
      <c r="O54" s="461"/>
      <c r="P54" s="178" t="s">
        <v>26</v>
      </c>
      <c r="R54" s="11"/>
    </row>
  </sheetData>
  <sheetProtection/>
  <mergeCells count="39">
    <mergeCell ref="M53:O53"/>
    <mergeCell ref="M52:O52"/>
    <mergeCell ref="M50:O50"/>
    <mergeCell ref="F52:H52"/>
    <mergeCell ref="M51:O51"/>
    <mergeCell ref="M49:O49"/>
    <mergeCell ref="F49:H49"/>
    <mergeCell ref="D44:E44"/>
    <mergeCell ref="F45:H45"/>
    <mergeCell ref="F44:H44"/>
    <mergeCell ref="M45:O45"/>
    <mergeCell ref="M48:O48"/>
    <mergeCell ref="M47:O47"/>
    <mergeCell ref="F48:H48"/>
    <mergeCell ref="K54:L54"/>
    <mergeCell ref="D48:E48"/>
    <mergeCell ref="F46:H46"/>
    <mergeCell ref="F47:H47"/>
    <mergeCell ref="D54:E54"/>
    <mergeCell ref="D53:E53"/>
    <mergeCell ref="F51:H51"/>
    <mergeCell ref="D47:E47"/>
    <mergeCell ref="D46:E46"/>
    <mergeCell ref="M54:O54"/>
    <mergeCell ref="D50:E50"/>
    <mergeCell ref="M46:O46"/>
    <mergeCell ref="K44:L44"/>
    <mergeCell ref="D49:E49"/>
    <mergeCell ref="M44:O44"/>
    <mergeCell ref="D45:E45"/>
    <mergeCell ref="F53:H53"/>
    <mergeCell ref="D52:E52"/>
    <mergeCell ref="F50:H50"/>
    <mergeCell ref="A5:D5"/>
    <mergeCell ref="A7:D7"/>
    <mergeCell ref="E5:J5"/>
    <mergeCell ref="A6:D6"/>
    <mergeCell ref="J43:K43"/>
    <mergeCell ref="C43:D43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11.625" style="0" customWidth="1"/>
  </cols>
  <sheetData>
    <row r="1" ht="15.75">
      <c r="A1" s="4" t="s">
        <v>366</v>
      </c>
    </row>
    <row r="44" spans="1:3" ht="12.75">
      <c r="A44" s="5" t="s">
        <v>7</v>
      </c>
      <c r="B44" s="5" t="s">
        <v>21</v>
      </c>
      <c r="C44" s="5" t="s">
        <v>36</v>
      </c>
    </row>
    <row r="45" spans="1:3" ht="12.75">
      <c r="A45" s="1" t="s">
        <v>37</v>
      </c>
      <c r="B45" s="16">
        <v>7.5</v>
      </c>
      <c r="C45" s="17">
        <v>0.58</v>
      </c>
    </row>
    <row r="46" spans="1:3" ht="12.75">
      <c r="A46" s="1" t="s">
        <v>38</v>
      </c>
      <c r="B46" s="16">
        <v>7.14</v>
      </c>
      <c r="C46" s="17">
        <v>0.68</v>
      </c>
    </row>
    <row r="47" spans="1:3" ht="12.75">
      <c r="A47" s="1" t="s">
        <v>39</v>
      </c>
      <c r="B47" s="16">
        <v>6.29</v>
      </c>
      <c r="C47" s="17">
        <v>0.46</v>
      </c>
    </row>
    <row r="48" spans="1:3" ht="12.75">
      <c r="A48" s="1" t="s">
        <v>45</v>
      </c>
      <c r="B48" s="16">
        <v>7.18423254985755</v>
      </c>
      <c r="C48" s="17">
        <v>0.6214285714285714</v>
      </c>
    </row>
    <row r="49" spans="1:3" ht="12.75">
      <c r="A49" s="19" t="s">
        <v>46</v>
      </c>
      <c r="B49" s="16">
        <v>6.52</v>
      </c>
      <c r="C49" s="17">
        <v>0.52</v>
      </c>
    </row>
    <row r="50" spans="1:3" ht="12.75">
      <c r="A50" s="19" t="s">
        <v>49</v>
      </c>
      <c r="B50" s="16">
        <v>7.24</v>
      </c>
      <c r="C50" s="17">
        <v>0.7</v>
      </c>
    </row>
    <row r="51" spans="1:3" ht="12.75">
      <c r="A51" s="19" t="s">
        <v>50</v>
      </c>
      <c r="B51" s="16">
        <v>7.28</v>
      </c>
      <c r="C51" s="17">
        <v>0.69</v>
      </c>
    </row>
    <row r="52" spans="1:3" ht="12.75">
      <c r="A52" s="19" t="s">
        <v>51</v>
      </c>
      <c r="B52" s="16">
        <v>6.17</v>
      </c>
      <c r="C52" s="17">
        <v>0.4</v>
      </c>
    </row>
    <row r="53" spans="1:3" ht="12.75">
      <c r="A53" s="19" t="s">
        <v>52</v>
      </c>
      <c r="B53" s="16">
        <v>6.88</v>
      </c>
      <c r="C53" s="17">
        <v>0.59</v>
      </c>
    </row>
    <row r="54" spans="1:3" ht="12.75">
      <c r="A54" s="19" t="s">
        <v>58</v>
      </c>
      <c r="B54" s="16">
        <v>6.72</v>
      </c>
      <c r="C54" s="17">
        <v>0.61</v>
      </c>
    </row>
    <row r="55" spans="1:3" ht="12.75">
      <c r="A55" s="19" t="s">
        <v>59</v>
      </c>
      <c r="B55" s="16">
        <v>7.1</v>
      </c>
      <c r="C55" s="17">
        <v>0.7</v>
      </c>
    </row>
    <row r="56" spans="1:3" ht="12.75">
      <c r="A56" s="19" t="s">
        <v>66</v>
      </c>
      <c r="B56" s="16">
        <v>7.18</v>
      </c>
      <c r="C56" s="17">
        <v>0.73</v>
      </c>
    </row>
    <row r="57" spans="1:3" ht="12.75">
      <c r="A57" s="19" t="s">
        <v>67</v>
      </c>
      <c r="B57" s="16">
        <v>7.41</v>
      </c>
      <c r="C57" s="17">
        <v>0.84</v>
      </c>
    </row>
    <row r="58" spans="1:3" ht="12.75">
      <c r="A58" s="19" t="s">
        <v>72</v>
      </c>
      <c r="B58" s="1">
        <v>7.65</v>
      </c>
      <c r="C58" s="17">
        <v>0.82</v>
      </c>
    </row>
    <row r="59" spans="1:3" ht="12.75">
      <c r="A59" s="19" t="s">
        <v>73</v>
      </c>
      <c r="B59" s="16">
        <v>7.38</v>
      </c>
      <c r="C59" s="17">
        <v>0.74</v>
      </c>
    </row>
    <row r="60" spans="1:3" ht="12.75">
      <c r="A60" s="19" t="s">
        <v>75</v>
      </c>
      <c r="B60" s="1">
        <v>6.96</v>
      </c>
      <c r="C60" s="17">
        <v>0.66</v>
      </c>
    </row>
    <row r="61" spans="1:3" ht="12.75">
      <c r="A61" s="19" t="s">
        <v>76</v>
      </c>
      <c r="B61" s="16">
        <v>6.98</v>
      </c>
      <c r="C61" s="17">
        <v>0.72</v>
      </c>
    </row>
    <row r="62" spans="1:3" ht="12.75">
      <c r="A62" s="19" t="s">
        <v>78</v>
      </c>
      <c r="B62" s="16">
        <v>7.28</v>
      </c>
      <c r="C62" s="17">
        <v>0.77</v>
      </c>
    </row>
    <row r="63" spans="1:3" ht="12.75">
      <c r="A63" s="19" t="s">
        <v>79</v>
      </c>
      <c r="B63" s="16">
        <v>6.95</v>
      </c>
      <c r="C63" s="17">
        <v>0.66</v>
      </c>
    </row>
    <row r="64" spans="1:3" ht="12.75">
      <c r="A64" s="19" t="s">
        <v>322</v>
      </c>
      <c r="B64" s="16">
        <v>7.31</v>
      </c>
      <c r="C64" s="17">
        <v>0.69</v>
      </c>
    </row>
    <row r="65" spans="1:3" ht="12.75">
      <c r="A65" s="19" t="s">
        <v>323</v>
      </c>
      <c r="B65" s="16">
        <f>Отчет!O38</f>
        <v>5.64507971452416</v>
      </c>
      <c r="C65" s="17">
        <f>Отчет!Q38</f>
        <v>0.5616438356164384</v>
      </c>
    </row>
    <row r="66" spans="1:3" ht="12.75">
      <c r="A66" s="19" t="s">
        <v>365</v>
      </c>
      <c r="B66" s="16">
        <f>Отчет!O39</f>
        <v>5.61150320872543</v>
      </c>
      <c r="C66" s="17">
        <f>Отчет!Q39</f>
        <v>0.5616438356164384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3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8" sqref="C8"/>
    </sheetView>
  </sheetViews>
  <sheetFormatPr defaultColWidth="9.00390625" defaultRowHeight="12.75"/>
  <cols>
    <col min="1" max="1" width="11.875" style="0" hidden="1" customWidth="1"/>
    <col min="2" max="2" width="3.00390625" style="0" bestFit="1" customWidth="1"/>
    <col min="3" max="3" width="23.25390625" style="0" customWidth="1"/>
    <col min="4" max="4" width="6.25390625" style="0" customWidth="1"/>
    <col min="5" max="5" width="5.875" style="0" customWidth="1"/>
    <col min="6" max="6" width="5.625" style="0" customWidth="1"/>
    <col min="7" max="8" width="6.125" style="0" customWidth="1"/>
    <col min="9" max="10" width="5.375" style="0" customWidth="1"/>
    <col min="11" max="11" width="9.875" style="3" customWidth="1"/>
    <col min="12" max="12" width="9.125" style="125" customWidth="1"/>
    <col min="13" max="18" width="5.375" style="0" customWidth="1"/>
    <col min="19" max="19" width="5.875" style="0" customWidth="1"/>
    <col min="20" max="20" width="9.875" style="3" customWidth="1"/>
    <col min="21" max="22" width="9.125" style="125" customWidth="1"/>
  </cols>
  <sheetData>
    <row r="1" spans="4:43" ht="16.5" thickBot="1">
      <c r="D1" s="200"/>
      <c r="E1" s="200"/>
      <c r="F1" s="200"/>
      <c r="G1" s="65"/>
      <c r="H1" s="65"/>
      <c r="I1" s="65"/>
      <c r="J1" s="65"/>
      <c r="K1" s="24"/>
      <c r="L1" s="123"/>
      <c r="M1" s="65"/>
      <c r="N1" s="65"/>
      <c r="O1" s="65"/>
      <c r="P1" s="65"/>
      <c r="Q1" s="65"/>
      <c r="R1" s="65"/>
      <c r="S1" s="65"/>
      <c r="T1" s="24"/>
      <c r="U1" s="123"/>
      <c r="V1" s="12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25"/>
      <c r="AM1" s="26"/>
      <c r="AP1" s="6"/>
      <c r="AQ1" s="7"/>
    </row>
    <row r="2" spans="2:39" ht="16.5" customHeight="1" thickBot="1">
      <c r="B2" s="27" t="s">
        <v>47</v>
      </c>
      <c r="C2" s="29" t="s">
        <v>23</v>
      </c>
      <c r="D2" s="73">
        <v>44117</v>
      </c>
      <c r="E2" s="140">
        <v>44131</v>
      </c>
      <c r="F2" s="64">
        <v>44138</v>
      </c>
      <c r="G2" s="62">
        <v>44174</v>
      </c>
      <c r="H2" s="34">
        <v>44175</v>
      </c>
      <c r="I2" s="62">
        <v>44180</v>
      </c>
      <c r="J2" s="34">
        <v>44182</v>
      </c>
      <c r="K2" s="134" t="s">
        <v>21</v>
      </c>
      <c r="L2" s="263" t="s">
        <v>81</v>
      </c>
      <c r="M2" s="64">
        <v>44214</v>
      </c>
      <c r="N2" s="251">
        <v>44222</v>
      </c>
      <c r="O2" s="73">
        <v>44243</v>
      </c>
      <c r="P2" s="251">
        <v>44250</v>
      </c>
      <c r="Q2" s="33"/>
      <c r="R2" s="62">
        <v>44319</v>
      </c>
      <c r="S2" s="34">
        <v>44320</v>
      </c>
      <c r="T2" s="262" t="s">
        <v>21</v>
      </c>
      <c r="U2" s="124" t="s">
        <v>305</v>
      </c>
      <c r="V2" s="181" t="s">
        <v>314</v>
      </c>
      <c r="AF2" s="13"/>
      <c r="AG2" s="13"/>
      <c r="AH2" s="13"/>
      <c r="AI2" s="13"/>
      <c r="AJ2" s="13"/>
      <c r="AK2" s="13"/>
      <c r="AL2" s="13"/>
      <c r="AM2" s="13"/>
    </row>
    <row r="3" spans="1:25" ht="12.75">
      <c r="A3" s="3">
        <f aca="true" t="shared" si="0" ref="A3:A24">T3</f>
        <v>6.2</v>
      </c>
      <c r="B3" s="2">
        <v>1</v>
      </c>
      <c r="C3" s="2" t="s">
        <v>234</v>
      </c>
      <c r="D3" s="275">
        <v>3</v>
      </c>
      <c r="E3" s="139">
        <v>4</v>
      </c>
      <c r="F3" s="201" t="s">
        <v>74</v>
      </c>
      <c r="G3" s="258" t="s">
        <v>74</v>
      </c>
      <c r="H3" s="223">
        <v>8</v>
      </c>
      <c r="I3" s="259" t="s">
        <v>74</v>
      </c>
      <c r="J3" s="40">
        <v>6</v>
      </c>
      <c r="K3" s="267">
        <f aca="true" t="shared" si="1" ref="K3:K24">AVERAGE(D3:J3)</f>
        <v>5.25</v>
      </c>
      <c r="L3" s="183">
        <f aca="true" t="shared" si="2" ref="L3:L24">ROUND(K3,0)</f>
        <v>5</v>
      </c>
      <c r="M3" s="248" t="s">
        <v>74</v>
      </c>
      <c r="N3" s="70">
        <v>5</v>
      </c>
      <c r="O3" s="55">
        <v>5</v>
      </c>
      <c r="P3" s="70">
        <v>7</v>
      </c>
      <c r="Q3" s="55"/>
      <c r="R3" s="139">
        <v>6</v>
      </c>
      <c r="S3" s="57">
        <v>8</v>
      </c>
      <c r="T3" s="335">
        <f aca="true" t="shared" si="3" ref="T3:T24">AVERAGE(M3:S3)</f>
        <v>6.2</v>
      </c>
      <c r="U3" s="183">
        <f aca="true" t="shared" si="4" ref="U3:U24">ROUND(T3,0)</f>
        <v>6</v>
      </c>
      <c r="V3" s="183">
        <f aca="true" t="shared" si="5" ref="V3:V24">AVERAGE(L3,U3)</f>
        <v>5.5</v>
      </c>
      <c r="W3" s="1" t="s">
        <v>27</v>
      </c>
      <c r="X3" s="1">
        <f>COUNTIF(U3:U24,"&gt;8")</f>
        <v>0</v>
      </c>
      <c r="Y3" s="17">
        <f>X3/$B$24</f>
        <v>0</v>
      </c>
    </row>
    <row r="4" spans="1:25" ht="12.75">
      <c r="A4" s="3">
        <f t="shared" si="0"/>
        <v>6.166666666666667</v>
      </c>
      <c r="B4" s="2">
        <v>2</v>
      </c>
      <c r="C4" s="2" t="s">
        <v>238</v>
      </c>
      <c r="D4" s="161">
        <v>7</v>
      </c>
      <c r="E4" s="135">
        <v>7</v>
      </c>
      <c r="F4" s="37">
        <v>8</v>
      </c>
      <c r="G4" s="85">
        <v>4</v>
      </c>
      <c r="H4" s="82">
        <v>7</v>
      </c>
      <c r="I4" s="31">
        <v>4</v>
      </c>
      <c r="J4" s="41">
        <v>4</v>
      </c>
      <c r="K4" s="268">
        <f t="shared" si="1"/>
        <v>5.857142857142857</v>
      </c>
      <c r="L4" s="183">
        <f t="shared" si="2"/>
        <v>6</v>
      </c>
      <c r="M4" s="41">
        <v>7</v>
      </c>
      <c r="N4" s="45">
        <v>6</v>
      </c>
      <c r="O4" s="36">
        <v>6</v>
      </c>
      <c r="P4" s="45">
        <v>6</v>
      </c>
      <c r="Q4" s="36"/>
      <c r="R4" s="31">
        <v>7</v>
      </c>
      <c r="S4" s="41">
        <v>5</v>
      </c>
      <c r="T4" s="335">
        <f t="shared" si="3"/>
        <v>6.166666666666667</v>
      </c>
      <c r="U4" s="183">
        <f t="shared" si="4"/>
        <v>6</v>
      </c>
      <c r="V4" s="183">
        <f t="shared" si="5"/>
        <v>6</v>
      </c>
      <c r="W4" s="1" t="s">
        <v>28</v>
      </c>
      <c r="X4" s="18">
        <f>COUNTIF(U3:U24,7)+COUNTIF(U3:U24,8)+COUNTIF(U3:U24,6)</f>
        <v>16</v>
      </c>
      <c r="Y4" s="17">
        <f>X4/$B$24</f>
        <v>0.7272727272727273</v>
      </c>
    </row>
    <row r="5" spans="1:25" ht="12.75">
      <c r="A5" s="3">
        <f t="shared" si="0"/>
        <v>6.285714285714286</v>
      </c>
      <c r="B5" s="2">
        <v>3</v>
      </c>
      <c r="C5" s="2" t="s">
        <v>243</v>
      </c>
      <c r="D5" s="38">
        <v>5</v>
      </c>
      <c r="E5" s="135">
        <v>8</v>
      </c>
      <c r="F5" s="37">
        <v>6</v>
      </c>
      <c r="G5" s="85">
        <v>7</v>
      </c>
      <c r="H5" s="82">
        <v>8</v>
      </c>
      <c r="I5" s="31">
        <v>7</v>
      </c>
      <c r="J5" s="146">
        <v>7</v>
      </c>
      <c r="K5" s="268">
        <f t="shared" si="1"/>
        <v>6.857142857142857</v>
      </c>
      <c r="L5" s="183">
        <f t="shared" si="2"/>
        <v>7</v>
      </c>
      <c r="M5" s="41">
        <v>5</v>
      </c>
      <c r="N5" s="45">
        <v>7</v>
      </c>
      <c r="O5" s="36">
        <v>6</v>
      </c>
      <c r="P5" s="45">
        <v>6</v>
      </c>
      <c r="Q5" s="36">
        <v>8</v>
      </c>
      <c r="R5" s="31">
        <v>7</v>
      </c>
      <c r="S5" s="41">
        <v>5</v>
      </c>
      <c r="T5" s="335">
        <f t="shared" si="3"/>
        <v>6.285714285714286</v>
      </c>
      <c r="U5" s="183">
        <v>7</v>
      </c>
      <c r="V5" s="183">
        <f t="shared" si="5"/>
        <v>7</v>
      </c>
      <c r="W5" s="1" t="s">
        <v>29</v>
      </c>
      <c r="X5" s="18">
        <f>COUNTIF(U3:U24,3)+COUNTIF(U3:U24,4)+COUNTIF(U3:U24,5)</f>
        <v>6</v>
      </c>
      <c r="Y5" s="17">
        <f>X5/$B$24</f>
        <v>0.2727272727272727</v>
      </c>
    </row>
    <row r="6" spans="1:25" ht="12.75">
      <c r="A6" s="3">
        <f t="shared" si="0"/>
        <v>6.166666666666667</v>
      </c>
      <c r="B6" s="2">
        <v>4</v>
      </c>
      <c r="C6" s="2" t="s">
        <v>227</v>
      </c>
      <c r="D6" s="38">
        <v>5</v>
      </c>
      <c r="E6" s="135">
        <v>9</v>
      </c>
      <c r="F6" s="37">
        <v>5</v>
      </c>
      <c r="G6" s="31">
        <v>7</v>
      </c>
      <c r="H6" s="41">
        <v>7</v>
      </c>
      <c r="I6" s="31">
        <v>9</v>
      </c>
      <c r="J6" s="41">
        <v>5</v>
      </c>
      <c r="K6" s="268">
        <f t="shared" si="1"/>
        <v>6.714285714285714</v>
      </c>
      <c r="L6" s="183">
        <f t="shared" si="2"/>
        <v>7</v>
      </c>
      <c r="M6" s="41">
        <v>5</v>
      </c>
      <c r="N6" s="94">
        <v>7</v>
      </c>
      <c r="O6" s="36">
        <v>5</v>
      </c>
      <c r="P6" s="45">
        <v>6</v>
      </c>
      <c r="Q6" s="36">
        <v>8</v>
      </c>
      <c r="R6" s="252" t="s">
        <v>74</v>
      </c>
      <c r="S6" s="146">
        <v>6</v>
      </c>
      <c r="T6" s="335">
        <f t="shared" si="3"/>
        <v>6.166666666666667</v>
      </c>
      <c r="U6" s="183">
        <f t="shared" si="4"/>
        <v>6</v>
      </c>
      <c r="V6" s="183">
        <f t="shared" si="5"/>
        <v>6.5</v>
      </c>
      <c r="W6" s="1" t="s">
        <v>30</v>
      </c>
      <c r="X6" s="1">
        <f>COUNTIF(U3:U24,"&lt;3")</f>
        <v>0</v>
      </c>
      <c r="Y6" s="17">
        <f>X6/$B$24</f>
        <v>0</v>
      </c>
    </row>
    <row r="7" spans="1:25" ht="12.75">
      <c r="A7" s="3">
        <f t="shared" si="0"/>
        <v>5.571428571428571</v>
      </c>
      <c r="B7" s="2">
        <v>5</v>
      </c>
      <c r="C7" s="2" t="s">
        <v>230</v>
      </c>
      <c r="D7" s="38">
        <v>5</v>
      </c>
      <c r="E7" s="135">
        <v>6</v>
      </c>
      <c r="F7" s="37">
        <v>6</v>
      </c>
      <c r="G7" s="252" t="s">
        <v>74</v>
      </c>
      <c r="H7" s="41">
        <v>4</v>
      </c>
      <c r="I7" s="31">
        <v>6</v>
      </c>
      <c r="J7" s="41">
        <v>4</v>
      </c>
      <c r="K7" s="268">
        <f t="shared" si="1"/>
        <v>5.166666666666667</v>
      </c>
      <c r="L7" s="183">
        <f t="shared" si="2"/>
        <v>5</v>
      </c>
      <c r="M7" s="41">
        <v>5</v>
      </c>
      <c r="N7" s="45">
        <v>7</v>
      </c>
      <c r="O7" s="36">
        <v>6</v>
      </c>
      <c r="P7" s="45">
        <v>6</v>
      </c>
      <c r="Q7" s="36">
        <v>7</v>
      </c>
      <c r="R7" s="31">
        <v>5</v>
      </c>
      <c r="S7" s="41">
        <v>3</v>
      </c>
      <c r="T7" s="335">
        <f t="shared" si="3"/>
        <v>5.571428571428571</v>
      </c>
      <c r="U7" s="183">
        <f t="shared" si="4"/>
        <v>6</v>
      </c>
      <c r="V7" s="183">
        <f t="shared" si="5"/>
        <v>5.5</v>
      </c>
      <c r="W7" s="19" t="s">
        <v>31</v>
      </c>
      <c r="X7" s="1">
        <f>B24-SUM(X3:X6)</f>
        <v>0</v>
      </c>
      <c r="Y7" s="17">
        <f>X7/$B$24</f>
        <v>0</v>
      </c>
    </row>
    <row r="8" spans="1:22" ht="12.75">
      <c r="A8" s="3">
        <f t="shared" si="0"/>
        <v>5.166666666666667</v>
      </c>
      <c r="B8" s="2">
        <v>6</v>
      </c>
      <c r="C8" s="2" t="s">
        <v>229</v>
      </c>
      <c r="D8" s="38">
        <v>5</v>
      </c>
      <c r="E8" s="135">
        <v>9</v>
      </c>
      <c r="F8" s="37">
        <v>6</v>
      </c>
      <c r="G8" s="85">
        <v>7</v>
      </c>
      <c r="H8" s="82">
        <v>7</v>
      </c>
      <c r="I8" s="31">
        <v>8</v>
      </c>
      <c r="J8" s="41">
        <v>5</v>
      </c>
      <c r="K8" s="268">
        <f t="shared" si="1"/>
        <v>6.714285714285714</v>
      </c>
      <c r="L8" s="183">
        <f t="shared" si="2"/>
        <v>7</v>
      </c>
      <c r="M8" s="146">
        <v>6</v>
      </c>
      <c r="N8" s="45">
        <v>4</v>
      </c>
      <c r="O8" s="36">
        <v>5</v>
      </c>
      <c r="P8" s="45">
        <v>5</v>
      </c>
      <c r="Q8" s="36"/>
      <c r="R8" s="31">
        <v>5</v>
      </c>
      <c r="S8" s="41">
        <v>6</v>
      </c>
      <c r="T8" s="335">
        <f t="shared" si="3"/>
        <v>5.166666666666667</v>
      </c>
      <c r="U8" s="183">
        <f t="shared" si="4"/>
        <v>5</v>
      </c>
      <c r="V8" s="183">
        <f t="shared" si="5"/>
        <v>6</v>
      </c>
    </row>
    <row r="9" spans="1:22" ht="12.75">
      <c r="A9" s="3">
        <f t="shared" si="0"/>
        <v>5.5</v>
      </c>
      <c r="B9" s="2">
        <v>7</v>
      </c>
      <c r="C9" s="2" t="s">
        <v>237</v>
      </c>
      <c r="D9" s="161">
        <v>5</v>
      </c>
      <c r="E9" s="135">
        <v>5</v>
      </c>
      <c r="F9" s="37">
        <v>9</v>
      </c>
      <c r="G9" s="85">
        <v>4</v>
      </c>
      <c r="H9" s="246" t="s">
        <v>74</v>
      </c>
      <c r="I9" s="252" t="s">
        <v>74</v>
      </c>
      <c r="J9" s="41">
        <v>6</v>
      </c>
      <c r="K9" s="268">
        <f t="shared" si="1"/>
        <v>5.8</v>
      </c>
      <c r="L9" s="183">
        <f t="shared" si="2"/>
        <v>6</v>
      </c>
      <c r="M9" s="41">
        <v>7</v>
      </c>
      <c r="N9" s="94">
        <v>3</v>
      </c>
      <c r="O9" s="36">
        <v>5</v>
      </c>
      <c r="P9" s="45">
        <v>6</v>
      </c>
      <c r="Q9" s="36"/>
      <c r="R9" s="31">
        <v>7</v>
      </c>
      <c r="S9" s="41">
        <v>5</v>
      </c>
      <c r="T9" s="335">
        <f t="shared" si="3"/>
        <v>5.5</v>
      </c>
      <c r="U9" s="183">
        <f t="shared" si="4"/>
        <v>6</v>
      </c>
      <c r="V9" s="183">
        <f t="shared" si="5"/>
        <v>6</v>
      </c>
    </row>
    <row r="10" spans="1:22" ht="12.75">
      <c r="A10" s="3">
        <f t="shared" si="0"/>
        <v>6.714285714285714</v>
      </c>
      <c r="B10" s="2">
        <v>8</v>
      </c>
      <c r="C10" s="2" t="s">
        <v>231</v>
      </c>
      <c r="D10" s="38">
        <v>3</v>
      </c>
      <c r="E10" s="135">
        <v>7</v>
      </c>
      <c r="F10" s="37">
        <v>6</v>
      </c>
      <c r="G10" s="31">
        <v>8</v>
      </c>
      <c r="H10" s="41">
        <v>8</v>
      </c>
      <c r="I10" s="252" t="s">
        <v>74</v>
      </c>
      <c r="J10" s="146">
        <v>6</v>
      </c>
      <c r="K10" s="268">
        <f t="shared" si="1"/>
        <v>6.333333333333333</v>
      </c>
      <c r="L10" s="183">
        <f t="shared" si="2"/>
        <v>6</v>
      </c>
      <c r="M10" s="41">
        <v>7</v>
      </c>
      <c r="N10" s="45">
        <v>7</v>
      </c>
      <c r="O10" s="36">
        <v>7</v>
      </c>
      <c r="P10" s="45">
        <v>6</v>
      </c>
      <c r="Q10" s="36">
        <v>7</v>
      </c>
      <c r="R10" s="31">
        <v>7</v>
      </c>
      <c r="S10" s="41">
        <v>6</v>
      </c>
      <c r="T10" s="335">
        <f t="shared" si="3"/>
        <v>6.714285714285714</v>
      </c>
      <c r="U10" s="183">
        <f t="shared" si="4"/>
        <v>7</v>
      </c>
      <c r="V10" s="183">
        <f t="shared" si="5"/>
        <v>6.5</v>
      </c>
    </row>
    <row r="11" spans="1:22" ht="12.75">
      <c r="A11" s="3">
        <f t="shared" si="0"/>
        <v>5.666666666666667</v>
      </c>
      <c r="B11" s="2">
        <v>9</v>
      </c>
      <c r="C11" s="2" t="s">
        <v>241</v>
      </c>
      <c r="D11" s="271">
        <v>3</v>
      </c>
      <c r="E11" s="149" t="s">
        <v>74</v>
      </c>
      <c r="F11" s="37">
        <v>8</v>
      </c>
      <c r="G11" s="236" t="s">
        <v>74</v>
      </c>
      <c r="H11" s="203">
        <v>6</v>
      </c>
      <c r="I11" s="252" t="s">
        <v>74</v>
      </c>
      <c r="J11" s="146">
        <v>6</v>
      </c>
      <c r="K11" s="268">
        <f t="shared" si="1"/>
        <v>5.75</v>
      </c>
      <c r="L11" s="183">
        <f t="shared" si="2"/>
        <v>6</v>
      </c>
      <c r="M11" s="41">
        <v>7</v>
      </c>
      <c r="N11" s="45">
        <v>6</v>
      </c>
      <c r="O11" s="36">
        <v>6</v>
      </c>
      <c r="P11" s="94">
        <v>3</v>
      </c>
      <c r="Q11" s="329"/>
      <c r="R11" s="31">
        <v>6</v>
      </c>
      <c r="S11" s="41">
        <v>6</v>
      </c>
      <c r="T11" s="335">
        <f t="shared" si="3"/>
        <v>5.666666666666667</v>
      </c>
      <c r="U11" s="183">
        <f t="shared" si="4"/>
        <v>6</v>
      </c>
      <c r="V11" s="183">
        <f t="shared" si="5"/>
        <v>6</v>
      </c>
    </row>
    <row r="12" spans="1:22" ht="12.75">
      <c r="A12" s="3">
        <f t="shared" si="0"/>
        <v>5</v>
      </c>
      <c r="B12" s="2">
        <v>10</v>
      </c>
      <c r="C12" s="2" t="s">
        <v>235</v>
      </c>
      <c r="D12" s="161">
        <v>1</v>
      </c>
      <c r="E12" s="270">
        <v>3</v>
      </c>
      <c r="F12" s="37">
        <v>7</v>
      </c>
      <c r="G12" s="270">
        <v>3</v>
      </c>
      <c r="H12" s="247" t="s">
        <v>74</v>
      </c>
      <c r="I12" s="252" t="s">
        <v>74</v>
      </c>
      <c r="J12" s="247" t="s">
        <v>74</v>
      </c>
      <c r="K12" s="268">
        <f t="shared" si="1"/>
        <v>3.5</v>
      </c>
      <c r="L12" s="183">
        <f t="shared" si="2"/>
        <v>4</v>
      </c>
      <c r="M12" s="41">
        <v>7</v>
      </c>
      <c r="N12" s="45">
        <v>6</v>
      </c>
      <c r="O12" s="36">
        <v>6</v>
      </c>
      <c r="P12" s="45">
        <v>6</v>
      </c>
      <c r="Q12" s="36"/>
      <c r="R12" s="135">
        <v>1</v>
      </c>
      <c r="S12" s="41">
        <v>4</v>
      </c>
      <c r="T12" s="335">
        <f t="shared" si="3"/>
        <v>5</v>
      </c>
      <c r="U12" s="183">
        <f t="shared" si="4"/>
        <v>5</v>
      </c>
      <c r="V12" s="183">
        <f t="shared" si="5"/>
        <v>4.5</v>
      </c>
    </row>
    <row r="13" spans="1:22" ht="12.75">
      <c r="A13" s="3">
        <f t="shared" si="0"/>
        <v>6.166666666666667</v>
      </c>
      <c r="B13" s="2">
        <v>11</v>
      </c>
      <c r="C13" s="2" t="s">
        <v>244</v>
      </c>
      <c r="D13" s="38">
        <v>6</v>
      </c>
      <c r="E13" s="135">
        <v>8</v>
      </c>
      <c r="F13" s="37">
        <v>7</v>
      </c>
      <c r="G13" s="85">
        <v>6</v>
      </c>
      <c r="H13" s="82">
        <v>8</v>
      </c>
      <c r="I13" s="31">
        <v>9</v>
      </c>
      <c r="J13" s="41">
        <v>7</v>
      </c>
      <c r="K13" s="268">
        <f t="shared" si="1"/>
        <v>7.285714285714286</v>
      </c>
      <c r="L13" s="183">
        <v>8</v>
      </c>
      <c r="M13" s="41">
        <v>6</v>
      </c>
      <c r="N13" s="45">
        <v>6</v>
      </c>
      <c r="O13" s="36">
        <v>6</v>
      </c>
      <c r="P13" s="45">
        <v>7</v>
      </c>
      <c r="Q13" s="36"/>
      <c r="R13" s="31">
        <v>7</v>
      </c>
      <c r="S13" s="41">
        <v>5</v>
      </c>
      <c r="T13" s="335">
        <f t="shared" si="3"/>
        <v>6.166666666666667</v>
      </c>
      <c r="U13" s="183">
        <f t="shared" si="4"/>
        <v>6</v>
      </c>
      <c r="V13" s="183">
        <f t="shared" si="5"/>
        <v>7</v>
      </c>
    </row>
    <row r="14" spans="1:22" ht="12.75">
      <c r="A14" s="3">
        <f t="shared" si="0"/>
        <v>3.1666666666666665</v>
      </c>
      <c r="B14" s="2">
        <v>12</v>
      </c>
      <c r="C14" s="2" t="s">
        <v>242</v>
      </c>
      <c r="D14" s="38">
        <v>5</v>
      </c>
      <c r="E14" s="135">
        <v>6</v>
      </c>
      <c r="F14" s="146">
        <v>5</v>
      </c>
      <c r="G14" s="253" t="s">
        <v>74</v>
      </c>
      <c r="H14" s="82">
        <v>5</v>
      </c>
      <c r="I14" s="31">
        <v>5</v>
      </c>
      <c r="J14" s="41">
        <v>3</v>
      </c>
      <c r="K14" s="268">
        <f t="shared" si="1"/>
        <v>4.833333333333333</v>
      </c>
      <c r="L14" s="183">
        <f t="shared" si="2"/>
        <v>5</v>
      </c>
      <c r="M14" s="146">
        <v>3</v>
      </c>
      <c r="N14" s="45">
        <v>3</v>
      </c>
      <c r="O14" s="36">
        <v>3</v>
      </c>
      <c r="P14" s="45">
        <v>4</v>
      </c>
      <c r="Q14" s="36"/>
      <c r="R14" s="135">
        <v>3</v>
      </c>
      <c r="S14" s="41">
        <v>3</v>
      </c>
      <c r="T14" s="335">
        <f t="shared" si="3"/>
        <v>3.1666666666666665</v>
      </c>
      <c r="U14" s="183">
        <f t="shared" si="4"/>
        <v>3</v>
      </c>
      <c r="V14" s="183">
        <f t="shared" si="5"/>
        <v>4</v>
      </c>
    </row>
    <row r="15" spans="1:22" ht="12.75">
      <c r="A15" s="3">
        <f t="shared" si="0"/>
        <v>5.333333333333333</v>
      </c>
      <c r="B15" s="2">
        <v>13</v>
      </c>
      <c r="C15" s="2" t="s">
        <v>239</v>
      </c>
      <c r="D15" s="148" t="s">
        <v>74</v>
      </c>
      <c r="E15" s="135">
        <v>7</v>
      </c>
      <c r="F15" s="37">
        <v>8</v>
      </c>
      <c r="G15" s="253" t="s">
        <v>74</v>
      </c>
      <c r="H15" s="82">
        <v>8</v>
      </c>
      <c r="I15" s="252" t="s">
        <v>74</v>
      </c>
      <c r="J15" s="41">
        <v>5</v>
      </c>
      <c r="K15" s="268">
        <f t="shared" si="1"/>
        <v>7</v>
      </c>
      <c r="L15" s="183">
        <f t="shared" si="2"/>
        <v>7</v>
      </c>
      <c r="M15" s="41">
        <v>7</v>
      </c>
      <c r="N15" s="94">
        <v>2</v>
      </c>
      <c r="O15" s="36">
        <v>5</v>
      </c>
      <c r="P15" s="45">
        <v>6</v>
      </c>
      <c r="Q15" s="36"/>
      <c r="R15" s="31">
        <v>7</v>
      </c>
      <c r="S15" s="41">
        <v>5</v>
      </c>
      <c r="T15" s="335">
        <f t="shared" si="3"/>
        <v>5.333333333333333</v>
      </c>
      <c r="U15" s="183">
        <f t="shared" si="4"/>
        <v>5</v>
      </c>
      <c r="V15" s="183">
        <f t="shared" si="5"/>
        <v>6</v>
      </c>
    </row>
    <row r="16" spans="1:22" ht="12.75">
      <c r="A16" s="3">
        <f t="shared" si="0"/>
        <v>6.5</v>
      </c>
      <c r="B16" s="2">
        <v>14</v>
      </c>
      <c r="C16" s="2" t="s">
        <v>224</v>
      </c>
      <c r="D16" s="38">
        <v>4</v>
      </c>
      <c r="E16" s="135">
        <v>4</v>
      </c>
      <c r="F16" s="37">
        <v>6</v>
      </c>
      <c r="G16" s="253" t="s">
        <v>74</v>
      </c>
      <c r="H16" s="82">
        <v>8</v>
      </c>
      <c r="I16" s="31">
        <v>5</v>
      </c>
      <c r="J16" s="41">
        <v>6</v>
      </c>
      <c r="K16" s="268">
        <f t="shared" si="1"/>
        <v>5.5</v>
      </c>
      <c r="L16" s="183">
        <f t="shared" si="2"/>
        <v>6</v>
      </c>
      <c r="M16" s="247" t="s">
        <v>74</v>
      </c>
      <c r="N16" s="326" t="s">
        <v>74</v>
      </c>
      <c r="O16" s="36">
        <v>6</v>
      </c>
      <c r="P16" s="45">
        <v>7</v>
      </c>
      <c r="Q16" s="36"/>
      <c r="R16" s="31">
        <v>6</v>
      </c>
      <c r="S16" s="41">
        <v>7</v>
      </c>
      <c r="T16" s="335">
        <f t="shared" si="3"/>
        <v>6.5</v>
      </c>
      <c r="U16" s="183">
        <f t="shared" si="4"/>
        <v>7</v>
      </c>
      <c r="V16" s="183">
        <f t="shared" si="5"/>
        <v>6.5</v>
      </c>
    </row>
    <row r="17" spans="1:22" ht="12.75">
      <c r="A17" s="3">
        <f t="shared" si="0"/>
        <v>7</v>
      </c>
      <c r="B17" s="2">
        <v>15</v>
      </c>
      <c r="C17" s="2" t="s">
        <v>225</v>
      </c>
      <c r="D17" s="38">
        <v>4</v>
      </c>
      <c r="E17" s="135">
        <v>4</v>
      </c>
      <c r="F17" s="37">
        <v>7</v>
      </c>
      <c r="G17" s="270">
        <v>3</v>
      </c>
      <c r="H17" s="246" t="s">
        <v>74</v>
      </c>
      <c r="I17" s="252" t="s">
        <v>74</v>
      </c>
      <c r="J17" s="247" t="s">
        <v>74</v>
      </c>
      <c r="K17" s="268">
        <f t="shared" si="1"/>
        <v>4.5</v>
      </c>
      <c r="L17" s="183">
        <f t="shared" si="2"/>
        <v>5</v>
      </c>
      <c r="M17" s="41">
        <v>6</v>
      </c>
      <c r="N17" s="45">
        <v>7</v>
      </c>
      <c r="O17" s="36">
        <v>7</v>
      </c>
      <c r="P17" s="45">
        <v>7</v>
      </c>
      <c r="Q17" s="36">
        <v>7</v>
      </c>
      <c r="R17" s="31">
        <v>7</v>
      </c>
      <c r="S17" s="41">
        <v>8</v>
      </c>
      <c r="T17" s="335">
        <f t="shared" si="3"/>
        <v>7</v>
      </c>
      <c r="U17" s="183">
        <f t="shared" si="4"/>
        <v>7</v>
      </c>
      <c r="V17" s="183">
        <f t="shared" si="5"/>
        <v>6</v>
      </c>
    </row>
    <row r="18" spans="1:22" ht="12.75">
      <c r="A18" s="3">
        <f t="shared" si="0"/>
        <v>6.5</v>
      </c>
      <c r="B18" s="2">
        <v>16</v>
      </c>
      <c r="C18" s="2" t="s">
        <v>232</v>
      </c>
      <c r="D18" s="38">
        <v>6</v>
      </c>
      <c r="E18" s="135">
        <v>8</v>
      </c>
      <c r="F18" s="37">
        <v>7</v>
      </c>
      <c r="G18" s="85">
        <v>8</v>
      </c>
      <c r="H18" s="82">
        <v>9</v>
      </c>
      <c r="I18" s="31">
        <v>9</v>
      </c>
      <c r="J18" s="41">
        <v>6</v>
      </c>
      <c r="K18" s="268">
        <f t="shared" si="1"/>
        <v>7.571428571428571</v>
      </c>
      <c r="L18" s="183">
        <f t="shared" si="2"/>
        <v>8</v>
      </c>
      <c r="M18" s="41">
        <v>7</v>
      </c>
      <c r="N18" s="45">
        <v>6</v>
      </c>
      <c r="O18" s="36">
        <v>7</v>
      </c>
      <c r="P18" s="45">
        <v>7</v>
      </c>
      <c r="Q18" s="36"/>
      <c r="R18" s="31">
        <v>7</v>
      </c>
      <c r="S18" s="41">
        <v>5</v>
      </c>
      <c r="T18" s="335">
        <f t="shared" si="3"/>
        <v>6.5</v>
      </c>
      <c r="U18" s="183">
        <f t="shared" si="4"/>
        <v>7</v>
      </c>
      <c r="V18" s="183">
        <f t="shared" si="5"/>
        <v>7.5</v>
      </c>
    </row>
    <row r="19" spans="1:22" ht="12.75">
      <c r="A19" s="3">
        <f t="shared" si="0"/>
        <v>6.666666666666667</v>
      </c>
      <c r="B19" s="2">
        <v>17</v>
      </c>
      <c r="C19" s="2" t="s">
        <v>228</v>
      </c>
      <c r="D19" s="161">
        <v>7</v>
      </c>
      <c r="E19" s="135">
        <v>9</v>
      </c>
      <c r="F19" s="37">
        <v>9</v>
      </c>
      <c r="G19" s="31">
        <v>10</v>
      </c>
      <c r="H19" s="41">
        <v>9</v>
      </c>
      <c r="I19" s="31">
        <v>9</v>
      </c>
      <c r="J19" s="41">
        <v>5</v>
      </c>
      <c r="K19" s="268">
        <f t="shared" si="1"/>
        <v>8.285714285714286</v>
      </c>
      <c r="L19" s="183">
        <v>9</v>
      </c>
      <c r="M19" s="41">
        <v>6</v>
      </c>
      <c r="N19" s="45">
        <v>7</v>
      </c>
      <c r="O19" s="36">
        <v>6</v>
      </c>
      <c r="P19" s="94">
        <v>7</v>
      </c>
      <c r="Q19" s="329"/>
      <c r="R19" s="31">
        <v>7</v>
      </c>
      <c r="S19" s="41">
        <v>7</v>
      </c>
      <c r="T19" s="335">
        <f t="shared" si="3"/>
        <v>6.666666666666667</v>
      </c>
      <c r="U19" s="183">
        <f t="shared" si="4"/>
        <v>7</v>
      </c>
      <c r="V19" s="183">
        <f t="shared" si="5"/>
        <v>8</v>
      </c>
    </row>
    <row r="20" spans="1:22" ht="12.75">
      <c r="A20" s="3">
        <f t="shared" si="0"/>
        <v>6.285714285714286</v>
      </c>
      <c r="B20" s="2">
        <v>18</v>
      </c>
      <c r="C20" s="2" t="s">
        <v>245</v>
      </c>
      <c r="D20" s="38">
        <v>5</v>
      </c>
      <c r="E20" s="135">
        <v>6</v>
      </c>
      <c r="F20" s="37">
        <v>9</v>
      </c>
      <c r="G20" s="85">
        <v>7</v>
      </c>
      <c r="H20" s="82">
        <v>8</v>
      </c>
      <c r="I20" s="31">
        <v>8</v>
      </c>
      <c r="J20" s="41">
        <v>5</v>
      </c>
      <c r="K20" s="268">
        <f t="shared" si="1"/>
        <v>6.857142857142857</v>
      </c>
      <c r="L20" s="183">
        <f t="shared" si="2"/>
        <v>7</v>
      </c>
      <c r="M20" s="41">
        <v>6</v>
      </c>
      <c r="N20" s="45">
        <v>5</v>
      </c>
      <c r="O20" s="36">
        <v>6</v>
      </c>
      <c r="P20" s="45">
        <v>7</v>
      </c>
      <c r="Q20" s="36">
        <v>7</v>
      </c>
      <c r="R20" s="31">
        <v>7</v>
      </c>
      <c r="S20" s="146">
        <v>6</v>
      </c>
      <c r="T20" s="335">
        <f t="shared" si="3"/>
        <v>6.285714285714286</v>
      </c>
      <c r="U20" s="183">
        <v>7</v>
      </c>
      <c r="V20" s="183">
        <f t="shared" si="5"/>
        <v>7</v>
      </c>
    </row>
    <row r="21" spans="1:22" ht="12.75">
      <c r="A21" s="3">
        <f t="shared" si="0"/>
        <v>5.166666666666667</v>
      </c>
      <c r="B21" s="2">
        <v>19</v>
      </c>
      <c r="C21" s="2" t="s">
        <v>240</v>
      </c>
      <c r="D21" s="38">
        <v>5</v>
      </c>
      <c r="E21" s="135">
        <v>1</v>
      </c>
      <c r="F21" s="37">
        <v>8</v>
      </c>
      <c r="G21" s="252" t="s">
        <v>74</v>
      </c>
      <c r="H21" s="41">
        <v>7</v>
      </c>
      <c r="I21" s="252" t="s">
        <v>74</v>
      </c>
      <c r="J21" s="41">
        <v>5</v>
      </c>
      <c r="K21" s="268">
        <f t="shared" si="1"/>
        <v>5.2</v>
      </c>
      <c r="L21" s="183">
        <f t="shared" si="2"/>
        <v>5</v>
      </c>
      <c r="M21" s="41">
        <v>6</v>
      </c>
      <c r="N21" s="94">
        <v>2</v>
      </c>
      <c r="O21" s="36">
        <v>5</v>
      </c>
      <c r="P21" s="45">
        <v>6</v>
      </c>
      <c r="Q21" s="36"/>
      <c r="R21" s="31">
        <v>6</v>
      </c>
      <c r="S21" s="146">
        <v>6</v>
      </c>
      <c r="T21" s="335">
        <f t="shared" si="3"/>
        <v>5.166666666666667</v>
      </c>
      <c r="U21" s="183">
        <f t="shared" si="4"/>
        <v>5</v>
      </c>
      <c r="V21" s="183">
        <f t="shared" si="5"/>
        <v>5</v>
      </c>
    </row>
    <row r="22" spans="1:22" ht="12.75">
      <c r="A22" s="3">
        <f t="shared" si="0"/>
        <v>6.833333333333333</v>
      </c>
      <c r="B22" s="2">
        <v>20</v>
      </c>
      <c r="C22" s="2" t="s">
        <v>226</v>
      </c>
      <c r="D22" s="38">
        <v>5</v>
      </c>
      <c r="E22" s="135">
        <v>6</v>
      </c>
      <c r="F22" s="41">
        <v>9</v>
      </c>
      <c r="G22" s="31">
        <v>9</v>
      </c>
      <c r="H22" s="41">
        <v>9</v>
      </c>
      <c r="I22" s="31">
        <v>9</v>
      </c>
      <c r="J22" s="41">
        <v>5</v>
      </c>
      <c r="K22" s="268">
        <f t="shared" si="1"/>
        <v>7.428571428571429</v>
      </c>
      <c r="L22" s="183">
        <v>8</v>
      </c>
      <c r="M22" s="41">
        <v>6</v>
      </c>
      <c r="N22" s="45">
        <v>7</v>
      </c>
      <c r="O22" s="36">
        <v>7</v>
      </c>
      <c r="P22" s="45">
        <v>8</v>
      </c>
      <c r="Q22" s="36"/>
      <c r="R22" s="31">
        <v>7</v>
      </c>
      <c r="S22" s="41">
        <v>6</v>
      </c>
      <c r="T22" s="335">
        <f t="shared" si="3"/>
        <v>6.833333333333333</v>
      </c>
      <c r="U22" s="183">
        <f t="shared" si="4"/>
        <v>7</v>
      </c>
      <c r="V22" s="183">
        <f t="shared" si="5"/>
        <v>7.5</v>
      </c>
    </row>
    <row r="23" spans="1:22" ht="12.75">
      <c r="A23" s="3">
        <f t="shared" si="0"/>
        <v>6.571428571428571</v>
      </c>
      <c r="B23" s="2">
        <v>21</v>
      </c>
      <c r="C23" s="2" t="s">
        <v>233</v>
      </c>
      <c r="D23" s="38">
        <v>3</v>
      </c>
      <c r="E23" s="135">
        <v>8</v>
      </c>
      <c r="F23" s="37">
        <v>6</v>
      </c>
      <c r="G23" s="31">
        <v>4</v>
      </c>
      <c r="H23" s="41">
        <v>8</v>
      </c>
      <c r="I23" s="31">
        <v>6</v>
      </c>
      <c r="J23" s="41">
        <v>5</v>
      </c>
      <c r="K23" s="268">
        <f t="shared" si="1"/>
        <v>5.714285714285714</v>
      </c>
      <c r="L23" s="183">
        <f t="shared" si="2"/>
        <v>6</v>
      </c>
      <c r="M23" s="41">
        <v>7</v>
      </c>
      <c r="N23" s="45">
        <v>7</v>
      </c>
      <c r="O23" s="36">
        <v>7</v>
      </c>
      <c r="P23" s="45">
        <v>6</v>
      </c>
      <c r="Q23" s="36">
        <v>7</v>
      </c>
      <c r="R23" s="31">
        <v>6</v>
      </c>
      <c r="S23" s="41">
        <v>6</v>
      </c>
      <c r="T23" s="335">
        <f t="shared" si="3"/>
        <v>6.571428571428571</v>
      </c>
      <c r="U23" s="183">
        <f t="shared" si="4"/>
        <v>7</v>
      </c>
      <c r="V23" s="183">
        <f t="shared" si="5"/>
        <v>6.5</v>
      </c>
    </row>
    <row r="24" spans="1:22" ht="12.75">
      <c r="A24" s="3">
        <f t="shared" si="0"/>
        <v>5.2</v>
      </c>
      <c r="B24" s="2">
        <v>22</v>
      </c>
      <c r="C24" s="14" t="s">
        <v>236</v>
      </c>
      <c r="D24" s="161">
        <v>1</v>
      </c>
      <c r="E24" s="135">
        <v>5</v>
      </c>
      <c r="F24" s="37">
        <v>7</v>
      </c>
      <c r="G24" s="219">
        <v>4</v>
      </c>
      <c r="H24" s="203">
        <v>7</v>
      </c>
      <c r="I24" s="252" t="s">
        <v>74</v>
      </c>
      <c r="J24" s="41">
        <v>6</v>
      </c>
      <c r="K24" s="276">
        <f t="shared" si="1"/>
        <v>5</v>
      </c>
      <c r="L24" s="183">
        <f t="shared" si="2"/>
        <v>5</v>
      </c>
      <c r="M24" s="146">
        <v>4</v>
      </c>
      <c r="N24" s="45">
        <v>6</v>
      </c>
      <c r="O24" s="36">
        <v>5</v>
      </c>
      <c r="P24" s="45">
        <v>6</v>
      </c>
      <c r="Q24" s="36"/>
      <c r="R24" s="252" t="s">
        <v>74</v>
      </c>
      <c r="S24" s="41">
        <v>5</v>
      </c>
      <c r="T24" s="335">
        <f t="shared" si="3"/>
        <v>5.2</v>
      </c>
      <c r="U24" s="183">
        <f t="shared" si="4"/>
        <v>5</v>
      </c>
      <c r="V24" s="183">
        <f t="shared" si="5"/>
        <v>5</v>
      </c>
    </row>
    <row r="25" spans="2:22" s="99" customFormat="1" ht="13.5" thickBot="1">
      <c r="B25" s="100"/>
      <c r="C25" s="180" t="s">
        <v>0</v>
      </c>
      <c r="D25" s="127">
        <f aca="true" t="shared" si="6" ref="D25:V25">AVERAGE(D3:D24)</f>
        <v>4.428571428571429</v>
      </c>
      <c r="E25" s="103">
        <f t="shared" si="6"/>
        <v>6.190476190476191</v>
      </c>
      <c r="F25" s="104">
        <f t="shared" si="6"/>
        <v>7.095238095238095</v>
      </c>
      <c r="G25" s="103">
        <f t="shared" si="6"/>
        <v>6.066666666666666</v>
      </c>
      <c r="H25" s="104">
        <f t="shared" si="6"/>
        <v>7.421052631578948</v>
      </c>
      <c r="I25" s="103">
        <f t="shared" si="6"/>
        <v>7.230769230769231</v>
      </c>
      <c r="J25" s="104">
        <f t="shared" si="6"/>
        <v>5.35</v>
      </c>
      <c r="K25" s="294">
        <f>AVERAGE(K3:K24)</f>
        <v>6.050865800865801</v>
      </c>
      <c r="L25" s="294">
        <f>AVERAGE(L3:L24)</f>
        <v>6.2727272727272725</v>
      </c>
      <c r="M25" s="104">
        <f t="shared" si="6"/>
        <v>6</v>
      </c>
      <c r="N25" s="213">
        <f t="shared" si="6"/>
        <v>5.523809523809524</v>
      </c>
      <c r="O25" s="127">
        <f t="shared" si="6"/>
        <v>5.7727272727272725</v>
      </c>
      <c r="P25" s="213">
        <f t="shared" si="6"/>
        <v>6.136363636363637</v>
      </c>
      <c r="Q25" s="127"/>
      <c r="R25" s="103">
        <f t="shared" si="6"/>
        <v>6.05</v>
      </c>
      <c r="S25" s="104">
        <f t="shared" si="6"/>
        <v>5.590909090909091</v>
      </c>
      <c r="T25" s="327">
        <f t="shared" si="6"/>
        <v>5.901298701298701</v>
      </c>
      <c r="U25" s="294">
        <f t="shared" si="6"/>
        <v>6.045454545454546</v>
      </c>
      <c r="V25" s="294">
        <f t="shared" si="6"/>
        <v>6.159090909090909</v>
      </c>
    </row>
    <row r="26" spans="2:22" s="99" customFormat="1" ht="13.5" thickBot="1">
      <c r="B26" s="100"/>
      <c r="C26" s="109"/>
      <c r="D26" s="136" t="s">
        <v>56</v>
      </c>
      <c r="E26" s="111" t="s">
        <v>57</v>
      </c>
      <c r="F26" s="110" t="s">
        <v>288</v>
      </c>
      <c r="G26" s="114" t="s">
        <v>287</v>
      </c>
      <c r="H26" s="112" t="s">
        <v>289</v>
      </c>
      <c r="I26" s="112" t="s">
        <v>300</v>
      </c>
      <c r="J26" s="112" t="s">
        <v>301</v>
      </c>
      <c r="K26" s="266"/>
      <c r="L26" s="265"/>
      <c r="M26" s="112" t="s">
        <v>308</v>
      </c>
      <c r="N26" s="110" t="s">
        <v>309</v>
      </c>
      <c r="O26" s="110" t="s">
        <v>367</v>
      </c>
      <c r="P26" s="110" t="s">
        <v>311</v>
      </c>
      <c r="Q26" s="110" t="s">
        <v>197</v>
      </c>
      <c r="R26" s="110" t="s">
        <v>313</v>
      </c>
      <c r="S26" s="112" t="s">
        <v>274</v>
      </c>
      <c r="T26" s="116"/>
      <c r="U26" s="117"/>
      <c r="V26" s="257"/>
    </row>
    <row r="27" spans="2:22" s="118" customFormat="1" ht="13.5" thickBot="1">
      <c r="B27" s="100"/>
      <c r="C27" s="119" t="s">
        <v>32</v>
      </c>
      <c r="D27" s="442" t="s">
        <v>270</v>
      </c>
      <c r="E27" s="440"/>
      <c r="F27" s="441"/>
      <c r="G27" s="440" t="s">
        <v>360</v>
      </c>
      <c r="H27" s="441"/>
      <c r="I27" s="440" t="s">
        <v>361</v>
      </c>
      <c r="J27" s="441"/>
      <c r="K27" s="120">
        <f>L27/$B$24</f>
        <v>1</v>
      </c>
      <c r="L27" s="264">
        <f>COUNTIF(L3:L24,"&gt;2")</f>
        <v>22</v>
      </c>
      <c r="M27" s="111" t="s">
        <v>370</v>
      </c>
      <c r="N27" s="114" t="s">
        <v>371</v>
      </c>
      <c r="O27" s="442" t="s">
        <v>310</v>
      </c>
      <c r="P27" s="441"/>
      <c r="Q27" s="442" t="s">
        <v>312</v>
      </c>
      <c r="R27" s="440"/>
      <c r="S27" s="441"/>
      <c r="T27" s="120">
        <f>U27/$B$24</f>
        <v>1</v>
      </c>
      <c r="U27" s="121">
        <f>COUNTIF(U3:U24,"&gt;2")</f>
        <v>22</v>
      </c>
      <c r="V27" s="257"/>
    </row>
    <row r="28" spans="2:22" s="118" customFormat="1" ht="12.75">
      <c r="B28" s="100"/>
      <c r="C28" s="119" t="s">
        <v>33</v>
      </c>
      <c r="D28" s="122"/>
      <c r="E28" s="122"/>
      <c r="F28" s="122"/>
      <c r="G28" s="122"/>
      <c r="H28" s="122"/>
      <c r="I28" s="122"/>
      <c r="J28" s="122"/>
      <c r="K28" s="120">
        <f>L28/$B$24</f>
        <v>0.6818181818181818</v>
      </c>
      <c r="L28" s="121">
        <f>COUNTIF(L3:L24,"&gt;5")</f>
        <v>15</v>
      </c>
      <c r="M28" s="122"/>
      <c r="N28" s="122"/>
      <c r="O28" s="122"/>
      <c r="P28" s="122"/>
      <c r="Q28" s="122"/>
      <c r="R28" s="122"/>
      <c r="S28" s="122"/>
      <c r="T28" s="120">
        <f>U28/$B$24</f>
        <v>0.4090909090909091</v>
      </c>
      <c r="U28" s="121">
        <f>COUNTIF(U3:U24,"&gt;6")</f>
        <v>9</v>
      </c>
      <c r="V28" s="257"/>
    </row>
    <row r="30" ht="12.75">
      <c r="C30" t="s">
        <v>286</v>
      </c>
    </row>
  </sheetData>
  <sheetProtection/>
  <mergeCells count="5">
    <mergeCell ref="D27:F27"/>
    <mergeCell ref="G27:H27"/>
    <mergeCell ref="I27:J27"/>
    <mergeCell ref="O27:P27"/>
    <mergeCell ref="Q27:S27"/>
  </mergeCells>
  <conditionalFormatting sqref="K3:L24 T3:V24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K25:L25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T25:V25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pane xSplit="3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6" sqref="C6"/>
    </sheetView>
  </sheetViews>
  <sheetFormatPr defaultColWidth="9.00390625" defaultRowHeight="12.75"/>
  <cols>
    <col min="1" max="1" width="14.875" style="0" hidden="1" customWidth="1"/>
    <col min="2" max="2" width="3.00390625" style="0" bestFit="1" customWidth="1"/>
    <col min="3" max="3" width="23.25390625" style="0" customWidth="1"/>
    <col min="4" max="4" width="6.375" style="0" customWidth="1"/>
    <col min="5" max="5" width="5.875" style="0" customWidth="1"/>
    <col min="6" max="7" width="5.625" style="0" customWidth="1"/>
    <col min="8" max="9" width="5.375" style="0" customWidth="1"/>
    <col min="10" max="10" width="9.875" style="3" customWidth="1"/>
    <col min="11" max="11" width="9.125" style="125" customWidth="1"/>
    <col min="12" max="15" width="5.375" style="0" customWidth="1"/>
    <col min="16" max="16" width="6.00390625" style="0" customWidth="1"/>
    <col min="17" max="17" width="9.875" style="3" customWidth="1"/>
    <col min="18" max="19" width="9.125" style="125" customWidth="1"/>
    <col min="22" max="22" width="12.375" style="0" bestFit="1" customWidth="1"/>
  </cols>
  <sheetData>
    <row r="1" spans="4:40" ht="16.5" thickBot="1"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65"/>
      <c r="O1" s="65"/>
      <c r="P1" s="65"/>
      <c r="Q1" s="24"/>
      <c r="R1" s="123"/>
      <c r="S1" s="12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5"/>
      <c r="AJ1" s="26"/>
      <c r="AM1" s="6"/>
      <c r="AN1" s="7"/>
    </row>
    <row r="2" spans="2:36" ht="16.5" customHeight="1" thickBot="1">
      <c r="B2" s="27" t="s">
        <v>47</v>
      </c>
      <c r="C2" s="29" t="s">
        <v>23</v>
      </c>
      <c r="D2" s="33"/>
      <c r="E2" s="62">
        <v>44099</v>
      </c>
      <c r="F2" s="62">
        <v>44132</v>
      </c>
      <c r="G2" s="34">
        <v>44139</v>
      </c>
      <c r="H2" s="62">
        <v>44172</v>
      </c>
      <c r="I2" s="34">
        <v>44176</v>
      </c>
      <c r="J2" s="134" t="s">
        <v>21</v>
      </c>
      <c r="K2" s="124" t="s">
        <v>81</v>
      </c>
      <c r="L2" s="46">
        <v>44228</v>
      </c>
      <c r="M2" s="50">
        <v>44235</v>
      </c>
      <c r="N2" s="33"/>
      <c r="O2" s="62">
        <v>44328</v>
      </c>
      <c r="P2" s="34">
        <v>44335</v>
      </c>
      <c r="Q2" s="262" t="s">
        <v>21</v>
      </c>
      <c r="R2" s="124" t="s">
        <v>305</v>
      </c>
      <c r="S2" s="181" t="s">
        <v>314</v>
      </c>
      <c r="AC2" s="13"/>
      <c r="AD2" s="13"/>
      <c r="AE2" s="13"/>
      <c r="AF2" s="13"/>
      <c r="AG2" s="13"/>
      <c r="AH2" s="13"/>
      <c r="AI2" s="13"/>
      <c r="AJ2" s="13"/>
    </row>
    <row r="3" spans="1:22" ht="12.75">
      <c r="A3" s="3">
        <f>Q3</f>
        <v>5.4</v>
      </c>
      <c r="B3" s="2">
        <v>1</v>
      </c>
      <c r="C3" s="2" t="s">
        <v>250</v>
      </c>
      <c r="D3" s="39"/>
      <c r="E3" s="165">
        <v>6</v>
      </c>
      <c r="F3" s="238" t="s">
        <v>74</v>
      </c>
      <c r="G3" s="237">
        <v>3</v>
      </c>
      <c r="H3" s="154">
        <v>9</v>
      </c>
      <c r="I3" s="57">
        <v>7</v>
      </c>
      <c r="J3" s="268">
        <f aca="true" t="shared" si="0" ref="J3:J26">AVERAGE(D3:I3)</f>
        <v>6.25</v>
      </c>
      <c r="K3" s="183">
        <f>ROUND(J3,0)</f>
        <v>6</v>
      </c>
      <c r="L3" s="47">
        <v>8</v>
      </c>
      <c r="M3" s="44">
        <v>6</v>
      </c>
      <c r="N3" s="55">
        <v>7</v>
      </c>
      <c r="O3" s="139">
        <v>1</v>
      </c>
      <c r="P3" s="57">
        <v>5</v>
      </c>
      <c r="Q3" s="335">
        <f aca="true" t="shared" si="1" ref="Q3:Q26">AVERAGE(L3:P3)</f>
        <v>5.4</v>
      </c>
      <c r="R3" s="183">
        <f aca="true" t="shared" si="2" ref="R3:R26">ROUND(Q3,0)</f>
        <v>5</v>
      </c>
      <c r="S3" s="183">
        <f aca="true" t="shared" si="3" ref="S3:S26">AVERAGE(K3,R3)</f>
        <v>5.5</v>
      </c>
      <c r="T3" s="1" t="s">
        <v>27</v>
      </c>
      <c r="U3" s="1">
        <f>COUNTIF(R3:R26,"&gt;8")</f>
        <v>1</v>
      </c>
      <c r="V3" s="17">
        <f>U3/$B$26</f>
        <v>0.041666666666666664</v>
      </c>
    </row>
    <row r="4" spans="1:22" ht="12.75">
      <c r="A4" s="3">
        <f aca="true" t="shared" si="4" ref="A4:A26">Q4</f>
        <v>5</v>
      </c>
      <c r="B4" s="2">
        <v>2</v>
      </c>
      <c r="C4" s="2" t="s">
        <v>257</v>
      </c>
      <c r="D4" s="38">
        <v>10</v>
      </c>
      <c r="E4" s="135">
        <v>6</v>
      </c>
      <c r="F4" s="135">
        <v>2</v>
      </c>
      <c r="G4" s="269">
        <v>3</v>
      </c>
      <c r="H4" s="253" t="s">
        <v>74</v>
      </c>
      <c r="I4" s="247" t="s">
        <v>74</v>
      </c>
      <c r="J4" s="268">
        <f t="shared" si="0"/>
        <v>5.25</v>
      </c>
      <c r="K4" s="183">
        <f>ROUND(J4,0)</f>
        <v>5</v>
      </c>
      <c r="L4" s="49">
        <v>9</v>
      </c>
      <c r="M4" s="326" t="s">
        <v>74</v>
      </c>
      <c r="N4" s="36"/>
      <c r="O4" s="135">
        <v>1</v>
      </c>
      <c r="P4" s="41">
        <v>5</v>
      </c>
      <c r="Q4" s="335">
        <f t="shared" si="1"/>
        <v>5</v>
      </c>
      <c r="R4" s="183">
        <f t="shared" si="2"/>
        <v>5</v>
      </c>
      <c r="S4" s="183">
        <f t="shared" si="3"/>
        <v>5</v>
      </c>
      <c r="T4" s="1" t="s">
        <v>28</v>
      </c>
      <c r="U4" s="18">
        <f>COUNTIF(R3:R26,7)+COUNTIF(R3:R26,8)+COUNTIF(R3:R26,6)</f>
        <v>11</v>
      </c>
      <c r="V4" s="17">
        <f>U4/$B$26</f>
        <v>0.4583333333333333</v>
      </c>
    </row>
    <row r="5" spans="1:22" ht="12.75">
      <c r="A5" s="3">
        <f t="shared" si="4"/>
        <v>8.5</v>
      </c>
      <c r="B5" s="2">
        <v>3</v>
      </c>
      <c r="C5" s="2" t="s">
        <v>256</v>
      </c>
      <c r="D5" s="38">
        <v>10</v>
      </c>
      <c r="E5" s="135">
        <v>2</v>
      </c>
      <c r="F5" s="135">
        <v>6</v>
      </c>
      <c r="G5" s="37">
        <v>4</v>
      </c>
      <c r="H5" s="219">
        <v>9</v>
      </c>
      <c r="I5" s="146">
        <v>9</v>
      </c>
      <c r="J5" s="268">
        <f t="shared" si="0"/>
        <v>6.666666666666667</v>
      </c>
      <c r="K5" s="183">
        <f>ROUND(J5,0)</f>
        <v>7</v>
      </c>
      <c r="L5" s="49">
        <v>8</v>
      </c>
      <c r="M5" s="94">
        <v>10</v>
      </c>
      <c r="N5" s="36"/>
      <c r="O5" s="135">
        <v>9</v>
      </c>
      <c r="P5" s="41">
        <v>7</v>
      </c>
      <c r="Q5" s="335">
        <f t="shared" si="1"/>
        <v>8.5</v>
      </c>
      <c r="R5" s="183">
        <f t="shared" si="2"/>
        <v>9</v>
      </c>
      <c r="S5" s="183">
        <f t="shared" si="3"/>
        <v>8</v>
      </c>
      <c r="T5" s="1" t="s">
        <v>29</v>
      </c>
      <c r="U5" s="18">
        <f>COUNTIF(R3:R26,3)+COUNTIF(R3:R26,4)+COUNTIF(R3:R26,5)</f>
        <v>12</v>
      </c>
      <c r="V5" s="17">
        <f>U5/$B$26</f>
        <v>0.5</v>
      </c>
    </row>
    <row r="6" spans="1:22" ht="12.75">
      <c r="A6" s="3">
        <f t="shared" si="4"/>
        <v>6</v>
      </c>
      <c r="B6" s="2">
        <v>4</v>
      </c>
      <c r="C6" s="2" t="s">
        <v>254</v>
      </c>
      <c r="D6" s="38">
        <v>7</v>
      </c>
      <c r="E6" s="135">
        <v>6</v>
      </c>
      <c r="F6" s="149" t="s">
        <v>74</v>
      </c>
      <c r="G6" s="269">
        <v>3</v>
      </c>
      <c r="H6" s="270">
        <v>3</v>
      </c>
      <c r="I6" s="247" t="s">
        <v>74</v>
      </c>
      <c r="J6" s="268">
        <f t="shared" si="0"/>
        <v>4.75</v>
      </c>
      <c r="K6" s="183">
        <f>ROUND(J6,0)</f>
        <v>5</v>
      </c>
      <c r="L6" s="299">
        <v>8</v>
      </c>
      <c r="M6" s="45">
        <v>6</v>
      </c>
      <c r="N6" s="36"/>
      <c r="O6" s="31">
        <v>7</v>
      </c>
      <c r="P6" s="41">
        <v>3</v>
      </c>
      <c r="Q6" s="335">
        <f t="shared" si="1"/>
        <v>6</v>
      </c>
      <c r="R6" s="183">
        <f t="shared" si="2"/>
        <v>6</v>
      </c>
      <c r="S6" s="183">
        <f t="shared" si="3"/>
        <v>5.5</v>
      </c>
      <c r="T6" s="1" t="s">
        <v>30</v>
      </c>
      <c r="U6" s="1">
        <f>COUNTIF(R3:R26,"&lt;3")</f>
        <v>0</v>
      </c>
      <c r="V6" s="17">
        <f>U6/$B$26</f>
        <v>0</v>
      </c>
    </row>
    <row r="7" spans="1:22" ht="12.75">
      <c r="A7" s="3">
        <f t="shared" si="4"/>
        <v>7</v>
      </c>
      <c r="B7" s="2">
        <v>5</v>
      </c>
      <c r="C7" s="2" t="s">
        <v>265</v>
      </c>
      <c r="D7" s="38"/>
      <c r="E7" s="135">
        <v>5</v>
      </c>
      <c r="F7" s="5">
        <v>4</v>
      </c>
      <c r="G7" s="146">
        <v>6</v>
      </c>
      <c r="H7" s="31">
        <v>6</v>
      </c>
      <c r="I7" s="41">
        <v>6</v>
      </c>
      <c r="J7" s="268">
        <f t="shared" si="0"/>
        <v>5.4</v>
      </c>
      <c r="K7" s="183">
        <v>6</v>
      </c>
      <c r="L7" s="49">
        <v>9</v>
      </c>
      <c r="M7" s="45">
        <v>8</v>
      </c>
      <c r="N7" s="36"/>
      <c r="O7" s="135">
        <v>6</v>
      </c>
      <c r="P7" s="41">
        <v>5</v>
      </c>
      <c r="Q7" s="335">
        <f t="shared" si="1"/>
        <v>7</v>
      </c>
      <c r="R7" s="183">
        <f t="shared" si="2"/>
        <v>7</v>
      </c>
      <c r="S7" s="183">
        <f t="shared" si="3"/>
        <v>6.5</v>
      </c>
      <c r="T7" s="19" t="s">
        <v>31</v>
      </c>
      <c r="U7" s="1">
        <f>B26-SUM(U3:U6)</f>
        <v>0</v>
      </c>
      <c r="V7" s="17">
        <f>U7/$B$26</f>
        <v>0</v>
      </c>
    </row>
    <row r="8" spans="1:19" ht="12.75">
      <c r="A8" s="3">
        <f t="shared" si="4"/>
        <v>4.25</v>
      </c>
      <c r="B8" s="2">
        <v>6</v>
      </c>
      <c r="C8" s="2" t="s">
        <v>259</v>
      </c>
      <c r="D8" s="38"/>
      <c r="E8" s="135">
        <v>6</v>
      </c>
      <c r="F8" s="144" t="s">
        <v>74</v>
      </c>
      <c r="G8" s="37">
        <v>4</v>
      </c>
      <c r="H8" s="85">
        <v>4</v>
      </c>
      <c r="I8" s="247" t="s">
        <v>74</v>
      </c>
      <c r="J8" s="268">
        <f t="shared" si="0"/>
        <v>4.666666666666667</v>
      </c>
      <c r="K8" s="183">
        <f>ROUND(J8,0)</f>
        <v>5</v>
      </c>
      <c r="L8" s="49">
        <v>4</v>
      </c>
      <c r="M8" s="94">
        <v>4</v>
      </c>
      <c r="N8" s="36"/>
      <c r="O8" s="31">
        <v>5</v>
      </c>
      <c r="P8" s="41">
        <v>4</v>
      </c>
      <c r="Q8" s="335">
        <f t="shared" si="1"/>
        <v>4.25</v>
      </c>
      <c r="R8" s="183">
        <f t="shared" si="2"/>
        <v>4</v>
      </c>
      <c r="S8" s="183">
        <f t="shared" si="3"/>
        <v>4.5</v>
      </c>
    </row>
    <row r="9" spans="1:19" ht="12.75">
      <c r="A9" s="3">
        <f t="shared" si="4"/>
        <v>5.666666666666667</v>
      </c>
      <c r="B9" s="2">
        <v>7</v>
      </c>
      <c r="C9" s="2" t="s">
        <v>260</v>
      </c>
      <c r="D9" s="38">
        <v>9</v>
      </c>
      <c r="E9" s="135">
        <v>5</v>
      </c>
      <c r="F9" s="5">
        <v>7</v>
      </c>
      <c r="G9" s="146">
        <v>5</v>
      </c>
      <c r="H9" s="253" t="s">
        <v>74</v>
      </c>
      <c r="I9" s="41">
        <v>5</v>
      </c>
      <c r="J9" s="268">
        <f t="shared" si="0"/>
        <v>6.2</v>
      </c>
      <c r="K9" s="183">
        <f>ROUND(J9,0)</f>
        <v>6</v>
      </c>
      <c r="L9" s="328" t="s">
        <v>74</v>
      </c>
      <c r="M9" s="45">
        <v>6</v>
      </c>
      <c r="N9" s="36"/>
      <c r="O9" s="31">
        <v>7</v>
      </c>
      <c r="P9" s="41">
        <v>4</v>
      </c>
      <c r="Q9" s="335">
        <f t="shared" si="1"/>
        <v>5.666666666666667</v>
      </c>
      <c r="R9" s="183">
        <f t="shared" si="2"/>
        <v>6</v>
      </c>
      <c r="S9" s="183">
        <f t="shared" si="3"/>
        <v>6</v>
      </c>
    </row>
    <row r="10" spans="1:19" ht="12.75">
      <c r="A10" s="3">
        <f t="shared" si="4"/>
        <v>4.75</v>
      </c>
      <c r="B10" s="2">
        <v>8</v>
      </c>
      <c r="C10" s="2" t="s">
        <v>267</v>
      </c>
      <c r="D10" s="38">
        <v>9</v>
      </c>
      <c r="E10" s="135">
        <v>8</v>
      </c>
      <c r="F10" s="5">
        <v>3</v>
      </c>
      <c r="G10" s="37">
        <v>4</v>
      </c>
      <c r="H10" s="31">
        <v>5</v>
      </c>
      <c r="I10" s="41">
        <v>6</v>
      </c>
      <c r="J10" s="268">
        <f t="shared" si="0"/>
        <v>5.833333333333333</v>
      </c>
      <c r="K10" s="183">
        <f>ROUND(J10,0)</f>
        <v>6</v>
      </c>
      <c r="L10" s="49">
        <v>8</v>
      </c>
      <c r="M10" s="94">
        <v>2</v>
      </c>
      <c r="N10" s="36"/>
      <c r="O10" s="31">
        <v>5</v>
      </c>
      <c r="P10" s="41">
        <v>4</v>
      </c>
      <c r="Q10" s="335">
        <f t="shared" si="1"/>
        <v>4.75</v>
      </c>
      <c r="R10" s="183">
        <f t="shared" si="2"/>
        <v>5</v>
      </c>
      <c r="S10" s="183">
        <f t="shared" si="3"/>
        <v>5.5</v>
      </c>
    </row>
    <row r="11" spans="1:19" ht="12.75">
      <c r="A11" s="3">
        <f t="shared" si="4"/>
        <v>6.25</v>
      </c>
      <c r="B11" s="2">
        <v>9</v>
      </c>
      <c r="C11" s="2" t="s">
        <v>264</v>
      </c>
      <c r="D11" s="38"/>
      <c r="E11" s="135">
        <v>7</v>
      </c>
      <c r="F11" s="5">
        <v>6</v>
      </c>
      <c r="G11" s="146">
        <v>6</v>
      </c>
      <c r="H11" s="31">
        <v>5</v>
      </c>
      <c r="I11" s="41">
        <v>6</v>
      </c>
      <c r="J11" s="268">
        <f t="shared" si="0"/>
        <v>6</v>
      </c>
      <c r="K11" s="183">
        <f>ROUND(J11,0)</f>
        <v>6</v>
      </c>
      <c r="L11" s="49">
        <v>8</v>
      </c>
      <c r="M11" s="94">
        <v>5</v>
      </c>
      <c r="N11" s="36"/>
      <c r="O11" s="31">
        <v>8</v>
      </c>
      <c r="P11" s="41">
        <v>4</v>
      </c>
      <c r="Q11" s="335">
        <f t="shared" si="1"/>
        <v>6.25</v>
      </c>
      <c r="R11" s="183">
        <v>7</v>
      </c>
      <c r="S11" s="183">
        <f t="shared" si="3"/>
        <v>6.5</v>
      </c>
    </row>
    <row r="12" spans="1:19" ht="12.75">
      <c r="A12" s="3">
        <f t="shared" si="4"/>
        <v>4.5</v>
      </c>
      <c r="B12" s="2">
        <v>10</v>
      </c>
      <c r="C12" s="2" t="s">
        <v>252</v>
      </c>
      <c r="D12" s="38"/>
      <c r="E12" s="135">
        <v>4</v>
      </c>
      <c r="F12" s="5">
        <v>7</v>
      </c>
      <c r="G12" s="146">
        <v>6</v>
      </c>
      <c r="H12" s="85">
        <v>6</v>
      </c>
      <c r="I12" s="41">
        <v>4</v>
      </c>
      <c r="J12" s="268">
        <f t="shared" si="0"/>
        <v>5.4</v>
      </c>
      <c r="K12" s="183">
        <v>6</v>
      </c>
      <c r="L12" s="49">
        <v>5</v>
      </c>
      <c r="M12" s="45">
        <v>4</v>
      </c>
      <c r="N12" s="36"/>
      <c r="O12" s="31">
        <v>7</v>
      </c>
      <c r="P12" s="146">
        <v>2</v>
      </c>
      <c r="Q12" s="335">
        <f t="shared" si="1"/>
        <v>4.5</v>
      </c>
      <c r="R12" s="183">
        <f t="shared" si="2"/>
        <v>5</v>
      </c>
      <c r="S12" s="183">
        <f t="shared" si="3"/>
        <v>5.5</v>
      </c>
    </row>
    <row r="13" spans="1:19" ht="12.75">
      <c r="A13" s="3">
        <f t="shared" si="4"/>
        <v>6.666666666666667</v>
      </c>
      <c r="B13" s="2">
        <v>11</v>
      </c>
      <c r="C13" s="2" t="s">
        <v>253</v>
      </c>
      <c r="D13" s="38"/>
      <c r="E13" s="135">
        <v>6</v>
      </c>
      <c r="F13" s="5">
        <v>6</v>
      </c>
      <c r="G13" s="146">
        <v>1</v>
      </c>
      <c r="H13" s="252" t="s">
        <v>74</v>
      </c>
      <c r="I13" s="41">
        <v>3</v>
      </c>
      <c r="J13" s="268">
        <f t="shared" si="0"/>
        <v>4</v>
      </c>
      <c r="K13" s="183">
        <f>ROUND(J13,0)</f>
        <v>4</v>
      </c>
      <c r="L13" s="49">
        <v>8</v>
      </c>
      <c r="M13" s="326" t="s">
        <v>74</v>
      </c>
      <c r="N13" s="36"/>
      <c r="O13" s="31">
        <v>8</v>
      </c>
      <c r="P13" s="41">
        <v>4</v>
      </c>
      <c r="Q13" s="335">
        <f t="shared" si="1"/>
        <v>6.666666666666667</v>
      </c>
      <c r="R13" s="183">
        <f t="shared" si="2"/>
        <v>7</v>
      </c>
      <c r="S13" s="183">
        <f t="shared" si="3"/>
        <v>5.5</v>
      </c>
    </row>
    <row r="14" spans="1:19" ht="12.75">
      <c r="A14" s="3">
        <f t="shared" si="4"/>
        <v>6.4</v>
      </c>
      <c r="B14" s="2">
        <v>12</v>
      </c>
      <c r="C14" s="2" t="s">
        <v>271</v>
      </c>
      <c r="D14" s="38"/>
      <c r="E14" s="135">
        <v>5</v>
      </c>
      <c r="F14" s="5">
        <v>8</v>
      </c>
      <c r="G14" s="37">
        <v>6</v>
      </c>
      <c r="H14" s="85">
        <v>5</v>
      </c>
      <c r="I14" s="41">
        <v>6</v>
      </c>
      <c r="J14" s="268">
        <f t="shared" si="0"/>
        <v>6</v>
      </c>
      <c r="K14" s="183">
        <f>ROUND(J14,0)</f>
        <v>6</v>
      </c>
      <c r="L14" s="49">
        <v>5</v>
      </c>
      <c r="M14" s="45">
        <v>7</v>
      </c>
      <c r="N14" s="36">
        <v>9</v>
      </c>
      <c r="O14" s="31">
        <v>7</v>
      </c>
      <c r="P14" s="41">
        <v>4</v>
      </c>
      <c r="Q14" s="335">
        <f t="shared" si="1"/>
        <v>6.4</v>
      </c>
      <c r="R14" s="183">
        <v>7</v>
      </c>
      <c r="S14" s="183">
        <f t="shared" si="3"/>
        <v>6.5</v>
      </c>
    </row>
    <row r="15" spans="1:19" ht="12.75">
      <c r="A15" s="3">
        <f t="shared" si="4"/>
        <v>5.5</v>
      </c>
      <c r="B15" s="2">
        <v>13</v>
      </c>
      <c r="C15" s="2" t="s">
        <v>247</v>
      </c>
      <c r="D15" s="38"/>
      <c r="E15" s="135">
        <v>4</v>
      </c>
      <c r="F15" s="5">
        <v>6</v>
      </c>
      <c r="G15" s="146">
        <v>3</v>
      </c>
      <c r="H15" s="85">
        <v>6</v>
      </c>
      <c r="I15" s="41">
        <v>6</v>
      </c>
      <c r="J15" s="268">
        <f t="shared" si="0"/>
        <v>5</v>
      </c>
      <c r="K15" s="183">
        <f>ROUND(J15,0)</f>
        <v>5</v>
      </c>
      <c r="L15" s="49">
        <v>7</v>
      </c>
      <c r="M15" s="94">
        <v>4</v>
      </c>
      <c r="N15" s="36"/>
      <c r="O15" s="31">
        <v>8</v>
      </c>
      <c r="P15" s="41">
        <v>3</v>
      </c>
      <c r="Q15" s="335">
        <f t="shared" si="1"/>
        <v>5.5</v>
      </c>
      <c r="R15" s="183">
        <f t="shared" si="2"/>
        <v>6</v>
      </c>
      <c r="S15" s="183">
        <f t="shared" si="3"/>
        <v>5.5</v>
      </c>
    </row>
    <row r="16" spans="1:19" ht="12.75">
      <c r="A16" s="3">
        <f t="shared" si="4"/>
        <v>7</v>
      </c>
      <c r="B16" s="2">
        <v>14</v>
      </c>
      <c r="C16" s="2" t="s">
        <v>266</v>
      </c>
      <c r="D16" s="38"/>
      <c r="E16" s="135">
        <v>8</v>
      </c>
      <c r="F16" s="5">
        <v>5</v>
      </c>
      <c r="G16" s="146">
        <v>6</v>
      </c>
      <c r="H16" s="85">
        <v>5</v>
      </c>
      <c r="I16" s="41">
        <v>8</v>
      </c>
      <c r="J16" s="268">
        <f t="shared" si="0"/>
        <v>6.4</v>
      </c>
      <c r="K16" s="183">
        <v>7</v>
      </c>
      <c r="L16" s="299">
        <v>9</v>
      </c>
      <c r="M16" s="45">
        <v>7</v>
      </c>
      <c r="N16" s="36"/>
      <c r="O16" s="31">
        <v>9</v>
      </c>
      <c r="P16" s="41">
        <v>3</v>
      </c>
      <c r="Q16" s="335">
        <f t="shared" si="1"/>
        <v>7</v>
      </c>
      <c r="R16" s="183">
        <f t="shared" si="2"/>
        <v>7</v>
      </c>
      <c r="S16" s="183">
        <f t="shared" si="3"/>
        <v>7</v>
      </c>
    </row>
    <row r="17" spans="1:19" ht="12.75">
      <c r="A17" s="3">
        <f t="shared" si="4"/>
        <v>6.5</v>
      </c>
      <c r="B17" s="2">
        <v>15</v>
      </c>
      <c r="C17" s="2" t="s">
        <v>255</v>
      </c>
      <c r="D17" s="38"/>
      <c r="E17" s="135">
        <v>3</v>
      </c>
      <c r="F17" s="144" t="s">
        <v>74</v>
      </c>
      <c r="G17" s="37">
        <v>3</v>
      </c>
      <c r="H17" s="85">
        <v>5</v>
      </c>
      <c r="I17" s="41">
        <v>5</v>
      </c>
      <c r="J17" s="268">
        <f t="shared" si="0"/>
        <v>4</v>
      </c>
      <c r="K17" s="183">
        <f aca="true" t="shared" si="5" ref="K17:K26">ROUND(J17,0)</f>
        <v>4</v>
      </c>
      <c r="L17" s="49">
        <v>9</v>
      </c>
      <c r="M17" s="45">
        <v>6</v>
      </c>
      <c r="N17" s="36"/>
      <c r="O17" s="31">
        <v>9</v>
      </c>
      <c r="P17" s="146">
        <v>2</v>
      </c>
      <c r="Q17" s="335">
        <f t="shared" si="1"/>
        <v>6.5</v>
      </c>
      <c r="R17" s="183">
        <f t="shared" si="2"/>
        <v>7</v>
      </c>
      <c r="S17" s="183">
        <f t="shared" si="3"/>
        <v>5.5</v>
      </c>
    </row>
    <row r="18" spans="1:19" ht="12.75">
      <c r="A18" s="3">
        <f t="shared" si="4"/>
        <v>4.25</v>
      </c>
      <c r="B18" s="2">
        <v>16</v>
      </c>
      <c r="C18" s="2" t="s">
        <v>248</v>
      </c>
      <c r="D18" s="38">
        <v>2</v>
      </c>
      <c r="E18" s="135">
        <v>4</v>
      </c>
      <c r="F18" s="5">
        <v>5</v>
      </c>
      <c r="G18" s="146">
        <v>1</v>
      </c>
      <c r="H18" s="253" t="s">
        <v>74</v>
      </c>
      <c r="I18" s="146">
        <v>3</v>
      </c>
      <c r="J18" s="268">
        <f t="shared" si="0"/>
        <v>3</v>
      </c>
      <c r="K18" s="183">
        <f t="shared" si="5"/>
        <v>3</v>
      </c>
      <c r="L18" s="299">
        <v>4</v>
      </c>
      <c r="M18" s="94">
        <v>3</v>
      </c>
      <c r="N18" s="36"/>
      <c r="O18" s="31">
        <v>8</v>
      </c>
      <c r="P18" s="146">
        <v>2</v>
      </c>
      <c r="Q18" s="335">
        <f t="shared" si="1"/>
        <v>4.25</v>
      </c>
      <c r="R18" s="183">
        <f t="shared" si="2"/>
        <v>4</v>
      </c>
      <c r="S18" s="183">
        <f t="shared" si="3"/>
        <v>3.5</v>
      </c>
    </row>
    <row r="19" spans="1:19" ht="12.75">
      <c r="A19" s="3">
        <f t="shared" si="4"/>
        <v>6</v>
      </c>
      <c r="B19" s="2">
        <v>17</v>
      </c>
      <c r="C19" s="2" t="s">
        <v>258</v>
      </c>
      <c r="D19" s="38"/>
      <c r="E19" s="135">
        <v>7</v>
      </c>
      <c r="F19" s="135">
        <v>2</v>
      </c>
      <c r="G19" s="146">
        <v>1</v>
      </c>
      <c r="H19" s="85">
        <v>5</v>
      </c>
      <c r="I19" s="41">
        <v>3</v>
      </c>
      <c r="J19" s="268">
        <f t="shared" si="0"/>
        <v>3.6</v>
      </c>
      <c r="K19" s="183">
        <f t="shared" si="5"/>
        <v>4</v>
      </c>
      <c r="L19" s="49">
        <v>8</v>
      </c>
      <c r="M19" s="45">
        <v>7</v>
      </c>
      <c r="N19" s="36"/>
      <c r="O19" s="31">
        <v>6</v>
      </c>
      <c r="P19" s="41">
        <v>3</v>
      </c>
      <c r="Q19" s="335">
        <f t="shared" si="1"/>
        <v>6</v>
      </c>
      <c r="R19" s="183">
        <f t="shared" si="2"/>
        <v>6</v>
      </c>
      <c r="S19" s="183">
        <f t="shared" si="3"/>
        <v>5</v>
      </c>
    </row>
    <row r="20" spans="1:19" ht="12.75">
      <c r="A20" s="3">
        <f t="shared" si="4"/>
        <v>4</v>
      </c>
      <c r="B20" s="2">
        <v>18</v>
      </c>
      <c r="C20" s="2" t="s">
        <v>249</v>
      </c>
      <c r="D20" s="38"/>
      <c r="E20" s="135">
        <v>6</v>
      </c>
      <c r="F20" s="5">
        <v>7</v>
      </c>
      <c r="G20" s="146">
        <v>3</v>
      </c>
      <c r="H20" s="31">
        <v>6</v>
      </c>
      <c r="I20" s="41">
        <v>6</v>
      </c>
      <c r="J20" s="268">
        <f t="shared" si="0"/>
        <v>5.6</v>
      </c>
      <c r="K20" s="183">
        <f t="shared" si="5"/>
        <v>6</v>
      </c>
      <c r="L20" s="299">
        <v>7</v>
      </c>
      <c r="M20" s="45">
        <v>4</v>
      </c>
      <c r="N20" s="36"/>
      <c r="O20" s="135">
        <v>3</v>
      </c>
      <c r="P20" s="146">
        <v>2</v>
      </c>
      <c r="Q20" s="335">
        <f t="shared" si="1"/>
        <v>4</v>
      </c>
      <c r="R20" s="183">
        <f t="shared" si="2"/>
        <v>4</v>
      </c>
      <c r="S20" s="183">
        <f t="shared" si="3"/>
        <v>5</v>
      </c>
    </row>
    <row r="21" spans="1:19" ht="12.75">
      <c r="A21" s="3">
        <f t="shared" si="4"/>
        <v>3.5</v>
      </c>
      <c r="B21" s="2">
        <v>19</v>
      </c>
      <c r="C21" s="2" t="s">
        <v>261</v>
      </c>
      <c r="D21" s="38"/>
      <c r="E21" s="135">
        <v>5</v>
      </c>
      <c r="F21" s="5">
        <v>4</v>
      </c>
      <c r="G21" s="146">
        <v>6</v>
      </c>
      <c r="H21" s="85">
        <v>5</v>
      </c>
      <c r="I21" s="41">
        <v>3</v>
      </c>
      <c r="J21" s="268">
        <f t="shared" si="0"/>
        <v>4.6</v>
      </c>
      <c r="K21" s="183">
        <f t="shared" si="5"/>
        <v>5</v>
      </c>
      <c r="L21" s="299">
        <v>4</v>
      </c>
      <c r="M21" s="94">
        <v>3</v>
      </c>
      <c r="N21" s="36"/>
      <c r="O21" s="31">
        <v>5</v>
      </c>
      <c r="P21" s="146">
        <v>2</v>
      </c>
      <c r="Q21" s="335">
        <f t="shared" si="1"/>
        <v>3.5</v>
      </c>
      <c r="R21" s="183">
        <f t="shared" si="2"/>
        <v>4</v>
      </c>
      <c r="S21" s="183">
        <f t="shared" si="3"/>
        <v>4.5</v>
      </c>
    </row>
    <row r="22" spans="1:19" ht="12.75">
      <c r="A22" s="3">
        <f t="shared" si="4"/>
        <v>6.5</v>
      </c>
      <c r="B22" s="2">
        <v>20</v>
      </c>
      <c r="C22" s="2" t="s">
        <v>263</v>
      </c>
      <c r="D22" s="38"/>
      <c r="E22" s="208" t="s">
        <v>74</v>
      </c>
      <c r="F22" s="5">
        <v>7</v>
      </c>
      <c r="G22" s="146">
        <v>1</v>
      </c>
      <c r="H22" s="252" t="s">
        <v>74</v>
      </c>
      <c r="I22" s="146">
        <v>3</v>
      </c>
      <c r="J22" s="268">
        <f t="shared" si="0"/>
        <v>3.6666666666666665</v>
      </c>
      <c r="K22" s="183">
        <f t="shared" si="5"/>
        <v>4</v>
      </c>
      <c r="L22" s="299">
        <v>9</v>
      </c>
      <c r="M22" s="326" t="s">
        <v>74</v>
      </c>
      <c r="N22" s="36">
        <v>8</v>
      </c>
      <c r="O22" s="135">
        <v>6</v>
      </c>
      <c r="P22" s="41">
        <v>3</v>
      </c>
      <c r="Q22" s="335">
        <f t="shared" si="1"/>
        <v>6.5</v>
      </c>
      <c r="R22" s="183">
        <f t="shared" si="2"/>
        <v>7</v>
      </c>
      <c r="S22" s="183">
        <f t="shared" si="3"/>
        <v>5.5</v>
      </c>
    </row>
    <row r="23" spans="1:19" ht="12.75">
      <c r="A23" s="3">
        <f t="shared" si="4"/>
        <v>5.25</v>
      </c>
      <c r="B23" s="2">
        <v>21</v>
      </c>
      <c r="C23" s="2" t="s">
        <v>251</v>
      </c>
      <c r="D23" s="38"/>
      <c r="E23" s="135">
        <v>7</v>
      </c>
      <c r="F23" s="149" t="s">
        <v>74</v>
      </c>
      <c r="G23" s="146">
        <v>6</v>
      </c>
      <c r="H23" s="31">
        <v>8</v>
      </c>
      <c r="I23" s="41">
        <v>7</v>
      </c>
      <c r="J23" s="268">
        <f t="shared" si="0"/>
        <v>7</v>
      </c>
      <c r="K23" s="183">
        <f t="shared" si="5"/>
        <v>7</v>
      </c>
      <c r="L23" s="49">
        <v>8</v>
      </c>
      <c r="M23" s="45">
        <v>6</v>
      </c>
      <c r="N23" s="36"/>
      <c r="O23" s="31">
        <v>6</v>
      </c>
      <c r="P23" s="146">
        <v>1</v>
      </c>
      <c r="Q23" s="335">
        <f t="shared" si="1"/>
        <v>5.25</v>
      </c>
      <c r="R23" s="183">
        <f t="shared" si="2"/>
        <v>5</v>
      </c>
      <c r="S23" s="183">
        <f t="shared" si="3"/>
        <v>6</v>
      </c>
    </row>
    <row r="24" spans="1:19" ht="12.75">
      <c r="A24" s="3">
        <f t="shared" si="4"/>
        <v>3.75</v>
      </c>
      <c r="B24" s="2">
        <v>22</v>
      </c>
      <c r="C24" s="2" t="s">
        <v>381</v>
      </c>
      <c r="D24" s="38"/>
      <c r="E24" s="208" t="s">
        <v>74</v>
      </c>
      <c r="F24" s="135">
        <v>4</v>
      </c>
      <c r="G24" s="202" t="s">
        <v>74</v>
      </c>
      <c r="H24" s="31">
        <v>6</v>
      </c>
      <c r="I24" s="41">
        <v>4</v>
      </c>
      <c r="J24" s="268">
        <f t="shared" si="0"/>
        <v>4.666666666666667</v>
      </c>
      <c r="K24" s="183">
        <f t="shared" si="5"/>
        <v>5</v>
      </c>
      <c r="L24" s="49">
        <v>5</v>
      </c>
      <c r="M24" s="94">
        <v>2</v>
      </c>
      <c r="N24" s="36"/>
      <c r="O24" s="135">
        <v>2</v>
      </c>
      <c r="P24" s="41">
        <v>6</v>
      </c>
      <c r="Q24" s="335">
        <f t="shared" si="1"/>
        <v>3.75</v>
      </c>
      <c r="R24" s="183">
        <f t="shared" si="2"/>
        <v>4</v>
      </c>
      <c r="S24" s="183">
        <f t="shared" si="3"/>
        <v>4.5</v>
      </c>
    </row>
    <row r="25" spans="1:19" ht="12.75">
      <c r="A25" s="3">
        <f t="shared" si="4"/>
        <v>4.75</v>
      </c>
      <c r="B25" s="2">
        <v>23</v>
      </c>
      <c r="C25" s="2" t="s">
        <v>195</v>
      </c>
      <c r="D25" s="38"/>
      <c r="E25" s="135">
        <v>7</v>
      </c>
      <c r="F25" s="135">
        <v>4</v>
      </c>
      <c r="G25" s="37">
        <v>4</v>
      </c>
      <c r="H25" s="31">
        <v>9</v>
      </c>
      <c r="I25" s="41">
        <v>6</v>
      </c>
      <c r="J25" s="268">
        <f t="shared" si="0"/>
        <v>6</v>
      </c>
      <c r="K25" s="183">
        <f t="shared" si="5"/>
        <v>6</v>
      </c>
      <c r="L25" s="49">
        <v>7</v>
      </c>
      <c r="M25" s="94">
        <v>2</v>
      </c>
      <c r="N25" s="36"/>
      <c r="O25" s="31">
        <v>5</v>
      </c>
      <c r="P25" s="41">
        <v>5</v>
      </c>
      <c r="Q25" s="335">
        <f t="shared" si="1"/>
        <v>4.75</v>
      </c>
      <c r="R25" s="183">
        <f t="shared" si="2"/>
        <v>5</v>
      </c>
      <c r="S25" s="183">
        <f t="shared" si="3"/>
        <v>5.5</v>
      </c>
    </row>
    <row r="26" spans="1:19" ht="12.75">
      <c r="A26" s="3">
        <f t="shared" si="4"/>
        <v>4</v>
      </c>
      <c r="B26" s="2">
        <v>24</v>
      </c>
      <c r="C26" s="14" t="s">
        <v>262</v>
      </c>
      <c r="D26" s="38"/>
      <c r="E26" s="135">
        <v>6</v>
      </c>
      <c r="F26" s="5">
        <v>5</v>
      </c>
      <c r="G26" s="146">
        <v>6</v>
      </c>
      <c r="H26" s="85">
        <v>4</v>
      </c>
      <c r="I26" s="146">
        <v>2</v>
      </c>
      <c r="J26" s="268">
        <f t="shared" si="0"/>
        <v>4.6</v>
      </c>
      <c r="K26" s="183">
        <f t="shared" si="5"/>
        <v>5</v>
      </c>
      <c r="L26" s="49">
        <v>4</v>
      </c>
      <c r="M26" s="45">
        <v>3</v>
      </c>
      <c r="N26" s="36"/>
      <c r="O26" s="135">
        <v>5</v>
      </c>
      <c r="P26" s="41">
        <v>4</v>
      </c>
      <c r="Q26" s="335">
        <f t="shared" si="1"/>
        <v>4</v>
      </c>
      <c r="R26" s="183">
        <f t="shared" si="2"/>
        <v>4</v>
      </c>
      <c r="S26" s="183">
        <f t="shared" si="3"/>
        <v>4.5</v>
      </c>
    </row>
    <row r="27" spans="2:19" s="99" customFormat="1" ht="13.5" thickBot="1">
      <c r="B27" s="100"/>
      <c r="C27" s="180" t="s">
        <v>0</v>
      </c>
      <c r="D27" s="162">
        <f aca="true" t="shared" si="6" ref="D27:S27">AVERAGE(D3:D26)</f>
        <v>7.833333333333333</v>
      </c>
      <c r="E27" s="108">
        <f t="shared" si="6"/>
        <v>5.590909090909091</v>
      </c>
      <c r="F27" s="108">
        <f t="shared" si="6"/>
        <v>5.157894736842105</v>
      </c>
      <c r="G27" s="163">
        <f t="shared" si="6"/>
        <v>3.9565217391304346</v>
      </c>
      <c r="H27" s="103">
        <f t="shared" si="6"/>
        <v>5.842105263157895</v>
      </c>
      <c r="I27" s="104">
        <f t="shared" si="6"/>
        <v>5.142857142857143</v>
      </c>
      <c r="J27" s="294">
        <f>AVERAGE(J3:J26)</f>
        <v>5.189583333333333</v>
      </c>
      <c r="K27" s="294">
        <f>AVERAGE(K3:K26)</f>
        <v>5.375</v>
      </c>
      <c r="L27" s="102">
        <f t="shared" si="6"/>
        <v>7</v>
      </c>
      <c r="M27" s="213">
        <f t="shared" si="6"/>
        <v>5</v>
      </c>
      <c r="N27" s="127">
        <f t="shared" si="6"/>
        <v>8</v>
      </c>
      <c r="O27" s="103">
        <f t="shared" si="6"/>
        <v>5.958333333333333</v>
      </c>
      <c r="P27" s="104">
        <f t="shared" si="6"/>
        <v>3.625</v>
      </c>
      <c r="Q27" s="107">
        <f t="shared" si="6"/>
        <v>5.4743055555555555</v>
      </c>
      <c r="R27" s="108">
        <f t="shared" si="6"/>
        <v>5.666666666666667</v>
      </c>
      <c r="S27" s="108">
        <f t="shared" si="6"/>
        <v>5.520833333333333</v>
      </c>
    </row>
    <row r="28" spans="2:19" s="99" customFormat="1" ht="13.5" thickBot="1">
      <c r="B28" s="100"/>
      <c r="C28" s="109"/>
      <c r="D28" s="152" t="s">
        <v>197</v>
      </c>
      <c r="E28" s="164" t="s">
        <v>82</v>
      </c>
      <c r="F28" s="164" t="s">
        <v>71</v>
      </c>
      <c r="G28" s="153" t="s">
        <v>215</v>
      </c>
      <c r="H28" s="112" t="s">
        <v>297</v>
      </c>
      <c r="I28" s="111" t="s">
        <v>273</v>
      </c>
      <c r="J28" s="266"/>
      <c r="K28" s="265"/>
      <c r="L28" s="112" t="s">
        <v>363</v>
      </c>
      <c r="M28" s="112" t="s">
        <v>289</v>
      </c>
      <c r="N28" s="110" t="s">
        <v>197</v>
      </c>
      <c r="O28" s="110" t="s">
        <v>301</v>
      </c>
      <c r="P28" s="160" t="s">
        <v>369</v>
      </c>
      <c r="Q28" s="116"/>
      <c r="R28" s="117"/>
      <c r="S28" s="118"/>
    </row>
    <row r="29" spans="2:18" s="118" customFormat="1" ht="13.5" thickBot="1">
      <c r="B29" s="100"/>
      <c r="C29" s="119" t="s">
        <v>32</v>
      </c>
      <c r="D29" s="444" t="s">
        <v>221</v>
      </c>
      <c r="E29" s="445"/>
      <c r="F29" s="445"/>
      <c r="G29" s="446"/>
      <c r="H29" s="440" t="s">
        <v>298</v>
      </c>
      <c r="I29" s="441"/>
      <c r="J29" s="120">
        <f>K29/$B$26</f>
        <v>1</v>
      </c>
      <c r="K29" s="264">
        <f>COUNTIF(K3:K26,"&gt;2")</f>
        <v>24</v>
      </c>
      <c r="L29" s="442" t="s">
        <v>362</v>
      </c>
      <c r="M29" s="441"/>
      <c r="N29" s="442" t="s">
        <v>307</v>
      </c>
      <c r="O29" s="440"/>
      <c r="P29" s="441"/>
      <c r="Q29" s="120">
        <f>R29/$B$26</f>
        <v>1</v>
      </c>
      <c r="R29" s="121">
        <f>COUNTIF(R3:R26,"&gt;2")</f>
        <v>24</v>
      </c>
    </row>
    <row r="30" spans="2:18" s="118" customFormat="1" ht="12.75">
      <c r="B30" s="100"/>
      <c r="C30" s="119" t="s">
        <v>33</v>
      </c>
      <c r="D30" s="122"/>
      <c r="E30" s="122"/>
      <c r="F30" s="122"/>
      <c r="G30" s="122"/>
      <c r="H30" s="122"/>
      <c r="I30" s="122"/>
      <c r="J30" s="120">
        <f>K30/$B$26</f>
        <v>0.5</v>
      </c>
      <c r="K30" s="121">
        <f>COUNTIF(K3:K26,"&gt;5")</f>
        <v>12</v>
      </c>
      <c r="L30" s="122"/>
      <c r="M30" s="122"/>
      <c r="N30" s="122"/>
      <c r="O30" s="122"/>
      <c r="P30" s="122"/>
      <c r="Q30" s="120">
        <f>R30/$B$26</f>
        <v>0.3333333333333333</v>
      </c>
      <c r="R30" s="121">
        <f>COUNTIF(R3:R26,"&gt;6")</f>
        <v>8</v>
      </c>
    </row>
    <row r="32" ht="12.75">
      <c r="C32" t="s">
        <v>276</v>
      </c>
    </row>
  </sheetData>
  <sheetProtection/>
  <mergeCells count="6">
    <mergeCell ref="N29:P29"/>
    <mergeCell ref="D1:G1"/>
    <mergeCell ref="D29:G29"/>
    <mergeCell ref="H1:M1"/>
    <mergeCell ref="H29:I29"/>
    <mergeCell ref="L29:M29"/>
  </mergeCells>
  <conditionalFormatting sqref="J27:K27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J3:J26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K3:K26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R3:R26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S3:S26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Q3:Q26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pane xSplit="3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6" sqref="C6"/>
    </sheetView>
  </sheetViews>
  <sheetFormatPr defaultColWidth="9.00390625" defaultRowHeight="12.75"/>
  <cols>
    <col min="1" max="1" width="9.375" style="0" hidden="1" customWidth="1"/>
    <col min="2" max="2" width="3.00390625" style="0" bestFit="1" customWidth="1"/>
    <col min="3" max="3" width="23.25390625" style="0" customWidth="1"/>
    <col min="4" max="4" width="6.375" style="0" customWidth="1"/>
    <col min="5" max="5" width="5.875" style="0" customWidth="1"/>
    <col min="6" max="7" width="5.625" style="0" customWidth="1"/>
    <col min="8" max="11" width="5.375" style="0" customWidth="1"/>
    <col min="12" max="12" width="9.875" style="3" customWidth="1"/>
    <col min="13" max="13" width="9.125" style="125" customWidth="1"/>
    <col min="14" max="18" width="5.375" style="0" customWidth="1"/>
    <col min="19" max="19" width="6.375" style="0" customWidth="1"/>
    <col min="20" max="20" width="9.875" style="3" customWidth="1"/>
    <col min="21" max="22" width="9.125" style="125" customWidth="1"/>
  </cols>
  <sheetData>
    <row r="1" spans="4:43" ht="16.5" thickBot="1">
      <c r="D1" s="200"/>
      <c r="E1" s="200"/>
      <c r="F1" s="200"/>
      <c r="G1" s="200"/>
      <c r="H1" s="200" t="s">
        <v>268</v>
      </c>
      <c r="I1" s="65"/>
      <c r="J1" s="65"/>
      <c r="K1" s="65"/>
      <c r="L1" s="24"/>
      <c r="M1" s="123"/>
      <c r="N1" s="65"/>
      <c r="O1" s="65"/>
      <c r="P1" s="65"/>
      <c r="Q1" s="65"/>
      <c r="R1" s="65"/>
      <c r="S1" s="65"/>
      <c r="T1" s="24"/>
      <c r="U1" s="123"/>
      <c r="V1" s="12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25"/>
      <c r="AM1" s="26"/>
      <c r="AP1" s="6"/>
      <c r="AQ1" s="7"/>
    </row>
    <row r="2" spans="2:39" ht="16.5" customHeight="1" thickBot="1">
      <c r="B2" s="27" t="s">
        <v>47</v>
      </c>
      <c r="C2" s="29" t="s">
        <v>23</v>
      </c>
      <c r="D2" s="73">
        <v>44106</v>
      </c>
      <c r="E2" s="140">
        <v>44113</v>
      </c>
      <c r="F2" s="64">
        <v>44117</v>
      </c>
      <c r="G2" s="33"/>
      <c r="H2" s="62">
        <v>44165</v>
      </c>
      <c r="I2" s="34">
        <v>44166</v>
      </c>
      <c r="J2" s="62">
        <v>44179</v>
      </c>
      <c r="K2" s="34">
        <v>44187</v>
      </c>
      <c r="L2" s="134" t="s">
        <v>21</v>
      </c>
      <c r="M2" s="263" t="s">
        <v>81</v>
      </c>
      <c r="N2" s="64">
        <v>44214</v>
      </c>
      <c r="O2" s="54">
        <v>44222</v>
      </c>
      <c r="P2" s="33">
        <v>44243</v>
      </c>
      <c r="Q2" s="50">
        <v>44250</v>
      </c>
      <c r="R2" s="33">
        <v>44329</v>
      </c>
      <c r="S2" s="34">
        <v>44336</v>
      </c>
      <c r="T2" s="262" t="s">
        <v>21</v>
      </c>
      <c r="U2" s="124" t="s">
        <v>305</v>
      </c>
      <c r="V2" s="181" t="s">
        <v>314</v>
      </c>
      <c r="AF2" s="13"/>
      <c r="AG2" s="13"/>
      <c r="AH2" s="13"/>
      <c r="AI2" s="13"/>
      <c r="AJ2" s="13"/>
      <c r="AK2" s="13"/>
      <c r="AL2" s="13"/>
      <c r="AM2" s="13"/>
    </row>
    <row r="3" spans="1:25" ht="12.75">
      <c r="A3" s="3">
        <f>T3</f>
        <v>5.666666666666667</v>
      </c>
      <c r="B3" s="2">
        <v>1</v>
      </c>
      <c r="C3" s="2" t="s">
        <v>250</v>
      </c>
      <c r="D3" s="234">
        <v>7</v>
      </c>
      <c r="E3" s="151" t="s">
        <v>74</v>
      </c>
      <c r="F3" s="147">
        <v>6</v>
      </c>
      <c r="G3" s="56"/>
      <c r="H3" s="154">
        <v>4</v>
      </c>
      <c r="I3" s="223">
        <v>8</v>
      </c>
      <c r="J3" s="259" t="s">
        <v>74</v>
      </c>
      <c r="K3" s="40">
        <v>5</v>
      </c>
      <c r="L3" s="268">
        <f aca="true" t="shared" si="0" ref="L3:L26">AVERAGE(D3:K3)</f>
        <v>6</v>
      </c>
      <c r="M3" s="325">
        <f aca="true" t="shared" si="1" ref="M3:M19">ROUND(L3,0)</f>
        <v>6</v>
      </c>
      <c r="N3" s="57">
        <v>6</v>
      </c>
      <c r="O3" s="343">
        <v>7</v>
      </c>
      <c r="P3" s="55">
        <v>5</v>
      </c>
      <c r="Q3" s="249">
        <v>5</v>
      </c>
      <c r="R3" s="339">
        <v>4</v>
      </c>
      <c r="S3" s="40">
        <v>7</v>
      </c>
      <c r="T3" s="335">
        <f aca="true" t="shared" si="2" ref="T3:T26">AVERAGE(N3:S3)</f>
        <v>5.666666666666667</v>
      </c>
      <c r="U3" s="183">
        <f aca="true" t="shared" si="3" ref="U3:U26">ROUND(T3,0)</f>
        <v>6</v>
      </c>
      <c r="V3" s="183">
        <f aca="true" t="shared" si="4" ref="V3:V26">AVERAGE(M3,U3)</f>
        <v>6</v>
      </c>
      <c r="W3" s="1" t="s">
        <v>27</v>
      </c>
      <c r="X3" s="1">
        <f>COUNTIF(U3:U26,"&gt;8")</f>
        <v>1</v>
      </c>
      <c r="Y3" s="17">
        <f>X3/$B$26</f>
        <v>0.041666666666666664</v>
      </c>
    </row>
    <row r="4" spans="1:25" ht="12.75">
      <c r="A4" s="3">
        <f aca="true" t="shared" si="5" ref="A4:A26">T4</f>
        <v>2.6666666666666665</v>
      </c>
      <c r="B4" s="2">
        <v>2</v>
      </c>
      <c r="C4" s="2" t="s">
        <v>257</v>
      </c>
      <c r="D4" s="271">
        <v>3</v>
      </c>
      <c r="E4" s="270">
        <v>3</v>
      </c>
      <c r="F4" s="145" t="s">
        <v>74</v>
      </c>
      <c r="G4" s="38"/>
      <c r="H4" s="85">
        <v>4</v>
      </c>
      <c r="I4" s="82">
        <v>7</v>
      </c>
      <c r="J4" s="252" t="s">
        <v>74</v>
      </c>
      <c r="K4" s="247" t="s">
        <v>74</v>
      </c>
      <c r="L4" s="268">
        <f t="shared" si="0"/>
        <v>4.25</v>
      </c>
      <c r="M4" s="325">
        <f t="shared" si="1"/>
        <v>4</v>
      </c>
      <c r="N4" s="146">
        <v>1</v>
      </c>
      <c r="O4" s="338">
        <v>1</v>
      </c>
      <c r="P4" s="36">
        <v>2</v>
      </c>
      <c r="Q4" s="94">
        <v>10</v>
      </c>
      <c r="R4" s="161">
        <v>1</v>
      </c>
      <c r="S4" s="269">
        <v>1</v>
      </c>
      <c r="T4" s="335">
        <f t="shared" si="2"/>
        <v>2.6666666666666665</v>
      </c>
      <c r="U4" s="183">
        <f t="shared" si="3"/>
        <v>3</v>
      </c>
      <c r="V4" s="183">
        <f t="shared" si="4"/>
        <v>3.5</v>
      </c>
      <c r="W4" s="1" t="s">
        <v>28</v>
      </c>
      <c r="X4" s="18">
        <f>COUNTIF(U3:U26,7)+COUNTIF(U3:U26,8)+COUNTIF(U3:U26,6)</f>
        <v>10</v>
      </c>
      <c r="Y4" s="17">
        <f>X4/$B$26</f>
        <v>0.4166666666666667</v>
      </c>
    </row>
    <row r="5" spans="1:25" ht="12.75">
      <c r="A5" s="3">
        <f t="shared" si="5"/>
        <v>9.833333333333334</v>
      </c>
      <c r="B5" s="2">
        <v>3</v>
      </c>
      <c r="C5" s="2" t="s">
        <v>256</v>
      </c>
      <c r="D5" s="161">
        <v>6</v>
      </c>
      <c r="E5" s="135">
        <v>4</v>
      </c>
      <c r="F5" s="146">
        <v>9</v>
      </c>
      <c r="G5" s="38"/>
      <c r="H5" s="85">
        <v>10</v>
      </c>
      <c r="I5" s="82">
        <v>7</v>
      </c>
      <c r="J5" s="31">
        <v>9</v>
      </c>
      <c r="K5" s="247" t="s">
        <v>74</v>
      </c>
      <c r="L5" s="268">
        <f t="shared" si="0"/>
        <v>7.5</v>
      </c>
      <c r="M5" s="325">
        <f t="shared" si="1"/>
        <v>8</v>
      </c>
      <c r="N5" s="41">
        <v>10</v>
      </c>
      <c r="O5" s="53">
        <v>10</v>
      </c>
      <c r="P5" s="36">
        <v>9</v>
      </c>
      <c r="Q5" s="45">
        <v>10</v>
      </c>
      <c r="R5" s="36">
        <v>10</v>
      </c>
      <c r="S5" s="41">
        <v>10</v>
      </c>
      <c r="T5" s="335">
        <f t="shared" si="2"/>
        <v>9.833333333333334</v>
      </c>
      <c r="U5" s="183">
        <f t="shared" si="3"/>
        <v>10</v>
      </c>
      <c r="V5" s="183">
        <f t="shared" si="4"/>
        <v>9</v>
      </c>
      <c r="W5" s="1" t="s">
        <v>29</v>
      </c>
      <c r="X5" s="18">
        <f>COUNTIF(U3:U26,3)+COUNTIF(U3:U26,4)+COUNTIF(U3:U26,5)</f>
        <v>13</v>
      </c>
      <c r="Y5" s="17">
        <f>X5/$B$26</f>
        <v>0.5416666666666666</v>
      </c>
    </row>
    <row r="6" spans="1:25" ht="12.75">
      <c r="A6" s="3">
        <f t="shared" si="5"/>
        <v>5.666666666666667</v>
      </c>
      <c r="B6" s="2">
        <v>4</v>
      </c>
      <c r="C6" s="2" t="s">
        <v>254</v>
      </c>
      <c r="D6" s="38">
        <v>9</v>
      </c>
      <c r="E6" s="135">
        <v>4</v>
      </c>
      <c r="F6" s="37">
        <v>8</v>
      </c>
      <c r="G6" s="38">
        <v>1</v>
      </c>
      <c r="H6" s="31">
        <v>3</v>
      </c>
      <c r="I6" s="222" t="s">
        <v>74</v>
      </c>
      <c r="J6" s="31">
        <v>3</v>
      </c>
      <c r="K6" s="247" t="s">
        <v>74</v>
      </c>
      <c r="L6" s="268">
        <f t="shared" si="0"/>
        <v>4.666666666666667</v>
      </c>
      <c r="M6" s="325">
        <f t="shared" si="1"/>
        <v>5</v>
      </c>
      <c r="N6" s="146">
        <v>5</v>
      </c>
      <c r="O6" s="53">
        <v>8</v>
      </c>
      <c r="P6" s="36">
        <v>5</v>
      </c>
      <c r="Q6" s="45">
        <v>3</v>
      </c>
      <c r="R6" s="36">
        <v>5</v>
      </c>
      <c r="S6" s="41">
        <v>8</v>
      </c>
      <c r="T6" s="335">
        <f t="shared" si="2"/>
        <v>5.666666666666667</v>
      </c>
      <c r="U6" s="183">
        <f t="shared" si="3"/>
        <v>6</v>
      </c>
      <c r="V6" s="183">
        <f t="shared" si="4"/>
        <v>5.5</v>
      </c>
      <c r="W6" s="1" t="s">
        <v>30</v>
      </c>
      <c r="X6" s="1">
        <f>COUNTIF(U3:U26,"&lt;3")</f>
        <v>0</v>
      </c>
      <c r="Y6" s="17">
        <f>X6/$B$26</f>
        <v>0</v>
      </c>
    </row>
    <row r="7" spans="1:25" ht="12.75">
      <c r="A7" s="3">
        <f t="shared" si="5"/>
        <v>5.5</v>
      </c>
      <c r="B7" s="2">
        <v>5</v>
      </c>
      <c r="C7" s="2" t="s">
        <v>265</v>
      </c>
      <c r="D7" s="38">
        <v>5</v>
      </c>
      <c r="E7" s="135">
        <v>6</v>
      </c>
      <c r="F7" s="37">
        <v>7</v>
      </c>
      <c r="G7" s="38"/>
      <c r="H7" s="135">
        <v>6</v>
      </c>
      <c r="I7" s="41">
        <v>7</v>
      </c>
      <c r="J7" s="252" t="s">
        <v>74</v>
      </c>
      <c r="K7" s="41">
        <v>4</v>
      </c>
      <c r="L7" s="268">
        <f t="shared" si="0"/>
        <v>5.833333333333333</v>
      </c>
      <c r="M7" s="325">
        <f t="shared" si="1"/>
        <v>6</v>
      </c>
      <c r="N7" s="146">
        <v>5</v>
      </c>
      <c r="O7" s="53">
        <v>8</v>
      </c>
      <c r="P7" s="36">
        <v>4</v>
      </c>
      <c r="Q7" s="94">
        <v>5</v>
      </c>
      <c r="R7" s="36">
        <v>3</v>
      </c>
      <c r="S7" s="41">
        <v>8</v>
      </c>
      <c r="T7" s="335">
        <f t="shared" si="2"/>
        <v>5.5</v>
      </c>
      <c r="U7" s="183">
        <f t="shared" si="3"/>
        <v>6</v>
      </c>
      <c r="V7" s="183">
        <f t="shared" si="4"/>
        <v>6</v>
      </c>
      <c r="W7" s="19" t="s">
        <v>31</v>
      </c>
      <c r="X7" s="1">
        <f>B26-SUM(X3:X6)</f>
        <v>0</v>
      </c>
      <c r="Y7" s="17">
        <f>X7/$B$26</f>
        <v>0</v>
      </c>
    </row>
    <row r="8" spans="1:22" ht="12.75">
      <c r="A8" s="3">
        <f t="shared" si="5"/>
        <v>3.3333333333333335</v>
      </c>
      <c r="B8" s="2">
        <v>6</v>
      </c>
      <c r="C8" s="2" t="s">
        <v>259</v>
      </c>
      <c r="D8" s="271">
        <v>3</v>
      </c>
      <c r="E8" s="149" t="s">
        <v>74</v>
      </c>
      <c r="F8" s="37">
        <v>7</v>
      </c>
      <c r="G8" s="38"/>
      <c r="H8" s="236" t="s">
        <v>74</v>
      </c>
      <c r="I8" s="203">
        <v>6</v>
      </c>
      <c r="J8" s="31">
        <v>5</v>
      </c>
      <c r="K8" s="247" t="s">
        <v>74</v>
      </c>
      <c r="L8" s="268">
        <f t="shared" si="0"/>
        <v>5.25</v>
      </c>
      <c r="M8" s="325">
        <f t="shared" si="1"/>
        <v>5</v>
      </c>
      <c r="N8" s="146">
        <v>2</v>
      </c>
      <c r="O8" s="338">
        <v>6</v>
      </c>
      <c r="P8" s="36">
        <v>2</v>
      </c>
      <c r="Q8" s="94">
        <v>1</v>
      </c>
      <c r="R8" s="36">
        <v>4</v>
      </c>
      <c r="S8" s="41">
        <v>5</v>
      </c>
      <c r="T8" s="335">
        <f t="shared" si="2"/>
        <v>3.3333333333333335</v>
      </c>
      <c r="U8" s="183">
        <f t="shared" si="3"/>
        <v>3</v>
      </c>
      <c r="V8" s="183">
        <f t="shared" si="4"/>
        <v>4</v>
      </c>
    </row>
    <row r="9" spans="1:22" ht="12.75">
      <c r="A9" s="3">
        <f t="shared" si="5"/>
        <v>5.4</v>
      </c>
      <c r="B9" s="2">
        <v>7</v>
      </c>
      <c r="C9" s="2" t="s">
        <v>260</v>
      </c>
      <c r="D9" s="38">
        <v>3</v>
      </c>
      <c r="E9" s="135">
        <v>4</v>
      </c>
      <c r="F9" s="37">
        <v>4</v>
      </c>
      <c r="G9" s="38">
        <v>9</v>
      </c>
      <c r="H9" s="219">
        <v>4</v>
      </c>
      <c r="I9" s="82">
        <v>7</v>
      </c>
      <c r="J9" s="252" t="s">
        <v>74</v>
      </c>
      <c r="K9" s="247" t="s">
        <v>74</v>
      </c>
      <c r="L9" s="268">
        <f t="shared" si="0"/>
        <v>5.166666666666667</v>
      </c>
      <c r="M9" s="325">
        <f t="shared" si="1"/>
        <v>5</v>
      </c>
      <c r="N9" s="146">
        <v>2</v>
      </c>
      <c r="O9" s="53">
        <v>7</v>
      </c>
      <c r="P9" s="36">
        <v>5</v>
      </c>
      <c r="Q9" s="326" t="s">
        <v>74</v>
      </c>
      <c r="R9" s="36">
        <v>5</v>
      </c>
      <c r="S9" s="41">
        <v>8</v>
      </c>
      <c r="T9" s="335">
        <f t="shared" si="2"/>
        <v>5.4</v>
      </c>
      <c r="U9" s="183">
        <f t="shared" si="3"/>
        <v>5</v>
      </c>
      <c r="V9" s="183">
        <f t="shared" si="4"/>
        <v>5</v>
      </c>
    </row>
    <row r="10" spans="1:22" ht="12.75">
      <c r="A10" s="3">
        <f t="shared" si="5"/>
        <v>3.5</v>
      </c>
      <c r="B10" s="2">
        <v>8</v>
      </c>
      <c r="C10" s="2" t="s">
        <v>267</v>
      </c>
      <c r="D10" s="38">
        <v>4</v>
      </c>
      <c r="E10" s="135">
        <v>4</v>
      </c>
      <c r="F10" s="37">
        <v>5</v>
      </c>
      <c r="G10" s="38">
        <v>8</v>
      </c>
      <c r="H10" s="31">
        <v>5</v>
      </c>
      <c r="I10" s="41">
        <v>5</v>
      </c>
      <c r="J10" s="31">
        <v>8</v>
      </c>
      <c r="K10" s="41">
        <v>6</v>
      </c>
      <c r="L10" s="268">
        <f t="shared" si="0"/>
        <v>5.625</v>
      </c>
      <c r="M10" s="325">
        <f t="shared" si="1"/>
        <v>6</v>
      </c>
      <c r="N10" s="41">
        <v>3</v>
      </c>
      <c r="O10" s="53">
        <v>6</v>
      </c>
      <c r="P10" s="36">
        <v>4</v>
      </c>
      <c r="Q10" s="94">
        <v>2</v>
      </c>
      <c r="R10" s="161">
        <v>2</v>
      </c>
      <c r="S10" s="41">
        <v>4</v>
      </c>
      <c r="T10" s="335">
        <f t="shared" si="2"/>
        <v>3.5</v>
      </c>
      <c r="U10" s="183">
        <f t="shared" si="3"/>
        <v>4</v>
      </c>
      <c r="V10" s="183">
        <f t="shared" si="4"/>
        <v>5</v>
      </c>
    </row>
    <row r="11" spans="1:22" ht="12.75">
      <c r="A11" s="3">
        <f t="shared" si="5"/>
        <v>5.666666666666667</v>
      </c>
      <c r="B11" s="2">
        <v>9</v>
      </c>
      <c r="C11" s="2" t="s">
        <v>264</v>
      </c>
      <c r="D11" s="161">
        <v>6</v>
      </c>
      <c r="E11" s="144" t="s">
        <v>74</v>
      </c>
      <c r="F11" s="37">
        <v>7</v>
      </c>
      <c r="G11" s="38"/>
      <c r="H11" s="31">
        <v>4</v>
      </c>
      <c r="I11" s="41">
        <v>8</v>
      </c>
      <c r="J11" s="31">
        <v>5</v>
      </c>
      <c r="K11" s="41">
        <v>6</v>
      </c>
      <c r="L11" s="268">
        <f t="shared" si="0"/>
        <v>6</v>
      </c>
      <c r="M11" s="325">
        <f t="shared" si="1"/>
        <v>6</v>
      </c>
      <c r="N11" s="41">
        <v>7</v>
      </c>
      <c r="O11" s="338">
        <v>5</v>
      </c>
      <c r="P11" s="36">
        <v>4</v>
      </c>
      <c r="Q11" s="94">
        <v>4</v>
      </c>
      <c r="R11" s="36">
        <v>6</v>
      </c>
      <c r="S11" s="41">
        <v>8</v>
      </c>
      <c r="T11" s="335">
        <f t="shared" si="2"/>
        <v>5.666666666666667</v>
      </c>
      <c r="U11" s="183">
        <f t="shared" si="3"/>
        <v>6</v>
      </c>
      <c r="V11" s="183">
        <f t="shared" si="4"/>
        <v>6</v>
      </c>
    </row>
    <row r="12" spans="1:22" ht="12.75">
      <c r="A12" s="3">
        <f t="shared" si="5"/>
        <v>4.166666666666667</v>
      </c>
      <c r="B12" s="2">
        <v>10</v>
      </c>
      <c r="C12" s="2" t="s">
        <v>252</v>
      </c>
      <c r="D12" s="38">
        <v>6</v>
      </c>
      <c r="E12" s="135">
        <v>5</v>
      </c>
      <c r="F12" s="37">
        <v>7</v>
      </c>
      <c r="G12" s="38"/>
      <c r="H12" s="236" t="s">
        <v>74</v>
      </c>
      <c r="I12" s="82">
        <v>8</v>
      </c>
      <c r="J12" s="31">
        <v>4</v>
      </c>
      <c r="K12" s="41">
        <v>5</v>
      </c>
      <c r="L12" s="268">
        <f t="shared" si="0"/>
        <v>5.833333333333333</v>
      </c>
      <c r="M12" s="325">
        <f t="shared" si="1"/>
        <v>6</v>
      </c>
      <c r="N12" s="41">
        <v>5</v>
      </c>
      <c r="O12" s="53">
        <v>7</v>
      </c>
      <c r="P12" s="36">
        <v>5</v>
      </c>
      <c r="Q12" s="45">
        <v>3</v>
      </c>
      <c r="R12" s="161">
        <v>1</v>
      </c>
      <c r="S12" s="41">
        <v>4</v>
      </c>
      <c r="T12" s="335">
        <f t="shared" si="2"/>
        <v>4.166666666666667</v>
      </c>
      <c r="U12" s="183">
        <f t="shared" si="3"/>
        <v>4</v>
      </c>
      <c r="V12" s="183">
        <f t="shared" si="4"/>
        <v>5</v>
      </c>
    </row>
    <row r="13" spans="1:22" ht="12.75">
      <c r="A13" s="3">
        <f t="shared" si="5"/>
        <v>5.5</v>
      </c>
      <c r="B13" s="2">
        <v>11</v>
      </c>
      <c r="C13" s="2" t="s">
        <v>253</v>
      </c>
      <c r="D13" s="38">
        <v>4</v>
      </c>
      <c r="E13" s="135">
        <v>5</v>
      </c>
      <c r="F13" s="145" t="s">
        <v>74</v>
      </c>
      <c r="G13" s="38"/>
      <c r="H13" s="135">
        <v>3</v>
      </c>
      <c r="I13" s="222" t="s">
        <v>74</v>
      </c>
      <c r="J13" s="252" t="s">
        <v>74</v>
      </c>
      <c r="K13" s="41">
        <v>7</v>
      </c>
      <c r="L13" s="268">
        <f t="shared" si="0"/>
        <v>4.75</v>
      </c>
      <c r="M13" s="325">
        <f t="shared" si="1"/>
        <v>5</v>
      </c>
      <c r="N13" s="146">
        <v>6</v>
      </c>
      <c r="O13" s="53">
        <v>8</v>
      </c>
      <c r="P13" s="36">
        <v>3</v>
      </c>
      <c r="Q13" s="94">
        <v>4</v>
      </c>
      <c r="R13" s="36">
        <v>5</v>
      </c>
      <c r="S13" s="41">
        <v>7</v>
      </c>
      <c r="T13" s="335">
        <f t="shared" si="2"/>
        <v>5.5</v>
      </c>
      <c r="U13" s="183">
        <f t="shared" si="3"/>
        <v>6</v>
      </c>
      <c r="V13" s="183">
        <f t="shared" si="4"/>
        <v>5.5</v>
      </c>
    </row>
    <row r="14" spans="1:22" ht="12.75">
      <c r="A14" s="3">
        <f t="shared" si="5"/>
        <v>6</v>
      </c>
      <c r="B14" s="2">
        <v>12</v>
      </c>
      <c r="C14" s="2" t="s">
        <v>271</v>
      </c>
      <c r="D14" s="38">
        <v>8</v>
      </c>
      <c r="E14" s="135">
        <v>2</v>
      </c>
      <c r="F14" s="37">
        <v>8</v>
      </c>
      <c r="G14" s="38">
        <v>9</v>
      </c>
      <c r="H14" s="85">
        <v>3</v>
      </c>
      <c r="I14" s="82">
        <v>8</v>
      </c>
      <c r="J14" s="31">
        <v>6</v>
      </c>
      <c r="K14" s="41">
        <v>6</v>
      </c>
      <c r="L14" s="268">
        <f t="shared" si="0"/>
        <v>6.25</v>
      </c>
      <c r="M14" s="325">
        <v>7</v>
      </c>
      <c r="N14" s="41">
        <v>6</v>
      </c>
      <c r="O14" s="53">
        <v>5</v>
      </c>
      <c r="P14" s="36">
        <v>6</v>
      </c>
      <c r="Q14" s="45">
        <v>6</v>
      </c>
      <c r="R14" s="36">
        <v>5</v>
      </c>
      <c r="S14" s="41">
        <v>8</v>
      </c>
      <c r="T14" s="335">
        <f t="shared" si="2"/>
        <v>6</v>
      </c>
      <c r="U14" s="183">
        <f t="shared" si="3"/>
        <v>6</v>
      </c>
      <c r="V14" s="183">
        <f t="shared" si="4"/>
        <v>6.5</v>
      </c>
    </row>
    <row r="15" spans="1:22" ht="12.75">
      <c r="A15" s="3">
        <f t="shared" si="5"/>
        <v>4.833333333333333</v>
      </c>
      <c r="B15" s="2">
        <v>13</v>
      </c>
      <c r="C15" s="2" t="s">
        <v>247</v>
      </c>
      <c r="D15" s="161">
        <v>2</v>
      </c>
      <c r="E15" s="135">
        <v>9</v>
      </c>
      <c r="F15" s="146">
        <v>8</v>
      </c>
      <c r="G15" s="38"/>
      <c r="H15" s="219">
        <v>4</v>
      </c>
      <c r="I15" s="82">
        <v>7</v>
      </c>
      <c r="J15" s="31">
        <v>7</v>
      </c>
      <c r="K15" s="247" t="s">
        <v>74</v>
      </c>
      <c r="L15" s="268">
        <f t="shared" si="0"/>
        <v>6.166666666666667</v>
      </c>
      <c r="M15" s="325">
        <f t="shared" si="1"/>
        <v>6</v>
      </c>
      <c r="N15" s="146">
        <v>4</v>
      </c>
      <c r="O15" s="53">
        <v>6</v>
      </c>
      <c r="P15" s="36">
        <v>4</v>
      </c>
      <c r="Q15" s="45">
        <v>3</v>
      </c>
      <c r="R15" s="36">
        <v>5</v>
      </c>
      <c r="S15" s="41">
        <v>7</v>
      </c>
      <c r="T15" s="335">
        <f t="shared" si="2"/>
        <v>4.833333333333333</v>
      </c>
      <c r="U15" s="183">
        <f t="shared" si="3"/>
        <v>5</v>
      </c>
      <c r="V15" s="183">
        <f t="shared" si="4"/>
        <v>5.5</v>
      </c>
    </row>
    <row r="16" spans="1:22" ht="12.75">
      <c r="A16" s="3">
        <f t="shared" si="5"/>
        <v>6.833333333333333</v>
      </c>
      <c r="B16" s="2">
        <v>14</v>
      </c>
      <c r="C16" s="2" t="s">
        <v>266</v>
      </c>
      <c r="D16" s="38">
        <v>7</v>
      </c>
      <c r="E16" s="135">
        <v>5</v>
      </c>
      <c r="F16" s="146">
        <v>7</v>
      </c>
      <c r="G16" s="38">
        <v>1</v>
      </c>
      <c r="H16" s="135">
        <v>7</v>
      </c>
      <c r="I16" s="230" t="s">
        <v>74</v>
      </c>
      <c r="J16" s="252" t="s">
        <v>74</v>
      </c>
      <c r="K16" s="41">
        <v>8</v>
      </c>
      <c r="L16" s="268">
        <f t="shared" si="0"/>
        <v>5.833333333333333</v>
      </c>
      <c r="M16" s="325">
        <f t="shared" si="1"/>
        <v>6</v>
      </c>
      <c r="N16" s="41">
        <v>7</v>
      </c>
      <c r="O16" s="53">
        <v>7</v>
      </c>
      <c r="P16" s="36">
        <v>5</v>
      </c>
      <c r="Q16" s="94">
        <v>8</v>
      </c>
      <c r="R16" s="36">
        <v>5</v>
      </c>
      <c r="S16" s="41">
        <v>9</v>
      </c>
      <c r="T16" s="335">
        <f t="shared" si="2"/>
        <v>6.833333333333333</v>
      </c>
      <c r="U16" s="183">
        <f t="shared" si="3"/>
        <v>7</v>
      </c>
      <c r="V16" s="183">
        <f t="shared" si="4"/>
        <v>6.5</v>
      </c>
    </row>
    <row r="17" spans="1:22" ht="12.75">
      <c r="A17" s="3">
        <f t="shared" si="5"/>
        <v>6.166666666666667</v>
      </c>
      <c r="B17" s="2">
        <v>15</v>
      </c>
      <c r="C17" s="2" t="s">
        <v>255</v>
      </c>
      <c r="D17" s="38">
        <v>5</v>
      </c>
      <c r="E17" s="135">
        <v>8</v>
      </c>
      <c r="F17" s="37">
        <v>9</v>
      </c>
      <c r="G17" s="38"/>
      <c r="H17" s="219">
        <v>7</v>
      </c>
      <c r="I17" s="82">
        <v>7</v>
      </c>
      <c r="J17" s="252" t="s">
        <v>74</v>
      </c>
      <c r="K17" s="247" t="s">
        <v>74</v>
      </c>
      <c r="L17" s="268">
        <f t="shared" si="0"/>
        <v>7.2</v>
      </c>
      <c r="M17" s="325">
        <f t="shared" si="1"/>
        <v>7</v>
      </c>
      <c r="N17" s="41">
        <v>6</v>
      </c>
      <c r="O17" s="53">
        <v>7</v>
      </c>
      <c r="P17" s="36">
        <v>6</v>
      </c>
      <c r="Q17" s="45">
        <v>6</v>
      </c>
      <c r="R17" s="36">
        <v>3</v>
      </c>
      <c r="S17" s="41">
        <v>9</v>
      </c>
      <c r="T17" s="335">
        <f t="shared" si="2"/>
        <v>6.166666666666667</v>
      </c>
      <c r="U17" s="183">
        <f t="shared" si="3"/>
        <v>6</v>
      </c>
      <c r="V17" s="183">
        <f t="shared" si="4"/>
        <v>6.5</v>
      </c>
    </row>
    <row r="18" spans="1:22" ht="12.75">
      <c r="A18" s="3">
        <f t="shared" si="5"/>
        <v>5.666666666666667</v>
      </c>
      <c r="B18" s="2">
        <v>16</v>
      </c>
      <c r="C18" s="2" t="s">
        <v>248</v>
      </c>
      <c r="D18" s="38">
        <v>6</v>
      </c>
      <c r="E18" s="135">
        <v>5</v>
      </c>
      <c r="F18" s="146">
        <v>7</v>
      </c>
      <c r="G18" s="38"/>
      <c r="H18" s="219">
        <v>2</v>
      </c>
      <c r="I18" s="82">
        <v>7</v>
      </c>
      <c r="J18" s="31">
        <v>6</v>
      </c>
      <c r="K18" s="41">
        <v>4</v>
      </c>
      <c r="L18" s="268">
        <f t="shared" si="0"/>
        <v>5.285714285714286</v>
      </c>
      <c r="M18" s="325">
        <f t="shared" si="1"/>
        <v>5</v>
      </c>
      <c r="N18" s="41">
        <v>7</v>
      </c>
      <c r="O18" s="53">
        <v>8</v>
      </c>
      <c r="P18" s="36">
        <v>6</v>
      </c>
      <c r="Q18" s="94">
        <v>2</v>
      </c>
      <c r="R18" s="36">
        <v>4</v>
      </c>
      <c r="S18" s="41">
        <v>7</v>
      </c>
      <c r="T18" s="335">
        <f t="shared" si="2"/>
        <v>5.666666666666667</v>
      </c>
      <c r="U18" s="183">
        <f t="shared" si="3"/>
        <v>6</v>
      </c>
      <c r="V18" s="183">
        <f t="shared" si="4"/>
        <v>5.5</v>
      </c>
    </row>
    <row r="19" spans="1:22" ht="12.75">
      <c r="A19" s="3">
        <f t="shared" si="5"/>
        <v>6</v>
      </c>
      <c r="B19" s="2">
        <v>17</v>
      </c>
      <c r="C19" s="2" t="s">
        <v>258</v>
      </c>
      <c r="D19" s="38">
        <v>4</v>
      </c>
      <c r="E19" s="135">
        <v>9</v>
      </c>
      <c r="F19" s="37">
        <v>3</v>
      </c>
      <c r="G19" s="38"/>
      <c r="H19" s="219">
        <v>1</v>
      </c>
      <c r="I19" s="203">
        <v>8</v>
      </c>
      <c r="J19" s="31">
        <v>4</v>
      </c>
      <c r="K19" s="41">
        <v>8</v>
      </c>
      <c r="L19" s="268">
        <f t="shared" si="0"/>
        <v>5.285714285714286</v>
      </c>
      <c r="M19" s="325">
        <f t="shared" si="1"/>
        <v>5</v>
      </c>
      <c r="N19" s="41">
        <v>7</v>
      </c>
      <c r="O19" s="53">
        <v>7</v>
      </c>
      <c r="P19" s="36">
        <v>6</v>
      </c>
      <c r="Q19" s="45">
        <v>3</v>
      </c>
      <c r="R19" s="36">
        <v>6</v>
      </c>
      <c r="S19" s="41">
        <v>7</v>
      </c>
      <c r="T19" s="335">
        <f t="shared" si="2"/>
        <v>6</v>
      </c>
      <c r="U19" s="183">
        <f t="shared" si="3"/>
        <v>6</v>
      </c>
      <c r="V19" s="183">
        <f t="shared" si="4"/>
        <v>5.5</v>
      </c>
    </row>
    <row r="20" spans="1:22" ht="12.75">
      <c r="A20" s="3">
        <f t="shared" si="5"/>
        <v>4.833333333333333</v>
      </c>
      <c r="B20" s="2">
        <v>18</v>
      </c>
      <c r="C20" s="2" t="s">
        <v>249</v>
      </c>
      <c r="D20" s="38">
        <v>5</v>
      </c>
      <c r="E20" s="135">
        <v>4</v>
      </c>
      <c r="F20" s="37">
        <v>7</v>
      </c>
      <c r="G20" s="38"/>
      <c r="H20" s="31">
        <v>3</v>
      </c>
      <c r="I20" s="41">
        <v>7</v>
      </c>
      <c r="J20" s="31">
        <v>6</v>
      </c>
      <c r="K20" s="41">
        <v>6</v>
      </c>
      <c r="L20" s="268">
        <f t="shared" si="0"/>
        <v>5.428571428571429</v>
      </c>
      <c r="M20" s="325">
        <v>6</v>
      </c>
      <c r="N20" s="41">
        <v>7</v>
      </c>
      <c r="O20" s="53">
        <v>7</v>
      </c>
      <c r="P20" s="36">
        <v>5</v>
      </c>
      <c r="Q20" s="94">
        <v>4</v>
      </c>
      <c r="R20" s="161">
        <v>1</v>
      </c>
      <c r="S20" s="41">
        <v>5</v>
      </c>
      <c r="T20" s="335">
        <f t="shared" si="2"/>
        <v>4.833333333333333</v>
      </c>
      <c r="U20" s="183">
        <f t="shared" si="3"/>
        <v>5</v>
      </c>
      <c r="V20" s="183">
        <f t="shared" si="4"/>
        <v>5.5</v>
      </c>
    </row>
    <row r="21" spans="1:22" ht="12.75">
      <c r="A21" s="3">
        <f t="shared" si="5"/>
        <v>4.166666666666667</v>
      </c>
      <c r="B21" s="2">
        <v>19</v>
      </c>
      <c r="C21" s="2" t="s">
        <v>261</v>
      </c>
      <c r="D21" s="38">
        <v>3</v>
      </c>
      <c r="E21" s="135">
        <v>4</v>
      </c>
      <c r="F21" s="37">
        <v>4</v>
      </c>
      <c r="G21" s="38"/>
      <c r="H21" s="219">
        <v>2</v>
      </c>
      <c r="I21" s="82">
        <v>6</v>
      </c>
      <c r="J21" s="252" t="s">
        <v>74</v>
      </c>
      <c r="K21" s="41">
        <v>5</v>
      </c>
      <c r="L21" s="268">
        <f t="shared" si="0"/>
        <v>4</v>
      </c>
      <c r="M21" s="325">
        <f aca="true" t="shared" si="6" ref="M21:M26">ROUND(L21,0)</f>
        <v>4</v>
      </c>
      <c r="N21" s="146">
        <v>2</v>
      </c>
      <c r="O21" s="53">
        <v>6</v>
      </c>
      <c r="P21" s="36">
        <v>4</v>
      </c>
      <c r="Q21" s="45">
        <v>4</v>
      </c>
      <c r="R21" s="36">
        <v>3</v>
      </c>
      <c r="S21" s="41">
        <v>6</v>
      </c>
      <c r="T21" s="335">
        <f t="shared" si="2"/>
        <v>4.166666666666667</v>
      </c>
      <c r="U21" s="183">
        <f t="shared" si="3"/>
        <v>4</v>
      </c>
      <c r="V21" s="183">
        <f t="shared" si="4"/>
        <v>4</v>
      </c>
    </row>
    <row r="22" spans="1:22" ht="12.75">
      <c r="A22" s="3">
        <f t="shared" si="5"/>
        <v>3.8333333333333335</v>
      </c>
      <c r="B22" s="2">
        <v>20</v>
      </c>
      <c r="C22" s="2" t="s">
        <v>263</v>
      </c>
      <c r="D22" s="38">
        <v>4</v>
      </c>
      <c r="E22" s="135">
        <v>4</v>
      </c>
      <c r="F22" s="146">
        <v>8</v>
      </c>
      <c r="G22" s="38"/>
      <c r="H22" s="135">
        <v>2</v>
      </c>
      <c r="I22" s="41">
        <v>6</v>
      </c>
      <c r="J22" s="252" t="s">
        <v>74</v>
      </c>
      <c r="K22" s="41">
        <v>6</v>
      </c>
      <c r="L22" s="268">
        <f t="shared" si="0"/>
        <v>5</v>
      </c>
      <c r="M22" s="325">
        <f t="shared" si="6"/>
        <v>5</v>
      </c>
      <c r="N22" s="41">
        <v>4</v>
      </c>
      <c r="O22" s="53">
        <v>5</v>
      </c>
      <c r="P22" s="36">
        <v>3</v>
      </c>
      <c r="Q22" s="94">
        <v>1</v>
      </c>
      <c r="R22" s="36">
        <v>3</v>
      </c>
      <c r="S22" s="41">
        <v>7</v>
      </c>
      <c r="T22" s="335">
        <f t="shared" si="2"/>
        <v>3.8333333333333335</v>
      </c>
      <c r="U22" s="183">
        <f t="shared" si="3"/>
        <v>4</v>
      </c>
      <c r="V22" s="183">
        <f t="shared" si="4"/>
        <v>4.5</v>
      </c>
    </row>
    <row r="23" spans="1:22" ht="12.75">
      <c r="A23" s="3">
        <f t="shared" si="5"/>
        <v>4.833333333333333</v>
      </c>
      <c r="B23" s="2">
        <v>21</v>
      </c>
      <c r="C23" s="2" t="s">
        <v>251</v>
      </c>
      <c r="D23" s="38">
        <v>4</v>
      </c>
      <c r="E23" s="135">
        <v>4</v>
      </c>
      <c r="F23" s="146">
        <v>7</v>
      </c>
      <c r="G23" s="38"/>
      <c r="H23" s="235" t="s">
        <v>74</v>
      </c>
      <c r="I23" s="146">
        <v>8</v>
      </c>
      <c r="J23" s="31">
        <v>9</v>
      </c>
      <c r="K23" s="41">
        <v>6</v>
      </c>
      <c r="L23" s="268">
        <f t="shared" si="0"/>
        <v>6.333333333333333</v>
      </c>
      <c r="M23" s="325">
        <f t="shared" si="6"/>
        <v>6</v>
      </c>
      <c r="N23" s="41">
        <v>7</v>
      </c>
      <c r="O23" s="338">
        <v>6</v>
      </c>
      <c r="P23" s="36">
        <v>3</v>
      </c>
      <c r="Q23" s="94">
        <v>1</v>
      </c>
      <c r="R23" s="36">
        <v>5</v>
      </c>
      <c r="S23" s="41">
        <v>7</v>
      </c>
      <c r="T23" s="335">
        <f t="shared" si="2"/>
        <v>4.833333333333333</v>
      </c>
      <c r="U23" s="183">
        <f t="shared" si="3"/>
        <v>5</v>
      </c>
      <c r="V23" s="183">
        <f t="shared" si="4"/>
        <v>5.5</v>
      </c>
    </row>
    <row r="24" spans="1:22" ht="12.75">
      <c r="A24" s="3">
        <f t="shared" si="5"/>
        <v>4.666666666666667</v>
      </c>
      <c r="B24" s="2">
        <v>22</v>
      </c>
      <c r="C24" s="2" t="s">
        <v>381</v>
      </c>
      <c r="D24" s="38">
        <v>4</v>
      </c>
      <c r="E24" s="144" t="s">
        <v>74</v>
      </c>
      <c r="F24" s="146">
        <v>7</v>
      </c>
      <c r="G24" s="38"/>
      <c r="H24" s="235" t="s">
        <v>74</v>
      </c>
      <c r="I24" s="146">
        <v>6</v>
      </c>
      <c r="J24" s="31">
        <v>4</v>
      </c>
      <c r="K24" s="41">
        <v>4</v>
      </c>
      <c r="L24" s="268">
        <f t="shared" si="0"/>
        <v>5</v>
      </c>
      <c r="M24" s="325">
        <f t="shared" si="6"/>
        <v>5</v>
      </c>
      <c r="N24" s="146">
        <v>3</v>
      </c>
      <c r="O24" s="53">
        <v>4</v>
      </c>
      <c r="P24" s="36">
        <v>4</v>
      </c>
      <c r="Q24" s="45">
        <v>5</v>
      </c>
      <c r="R24" s="36">
        <v>6</v>
      </c>
      <c r="S24" s="41">
        <v>6</v>
      </c>
      <c r="T24" s="335">
        <f t="shared" si="2"/>
        <v>4.666666666666667</v>
      </c>
      <c r="U24" s="183">
        <f t="shared" si="3"/>
        <v>5</v>
      </c>
      <c r="V24" s="183">
        <f t="shared" si="4"/>
        <v>5</v>
      </c>
    </row>
    <row r="25" spans="1:22" ht="12.75">
      <c r="A25" s="3">
        <f t="shared" si="5"/>
        <v>3.5</v>
      </c>
      <c r="B25" s="2">
        <v>23</v>
      </c>
      <c r="C25" s="2" t="s">
        <v>195</v>
      </c>
      <c r="D25" s="38">
        <v>6</v>
      </c>
      <c r="E25" s="135">
        <v>8</v>
      </c>
      <c r="F25" s="146">
        <v>7</v>
      </c>
      <c r="G25" s="38"/>
      <c r="H25" s="135">
        <v>3</v>
      </c>
      <c r="I25" s="41">
        <v>5</v>
      </c>
      <c r="J25" s="31">
        <v>7</v>
      </c>
      <c r="K25" s="41">
        <v>6</v>
      </c>
      <c r="L25" s="268">
        <f t="shared" si="0"/>
        <v>6</v>
      </c>
      <c r="M25" s="325">
        <f t="shared" si="6"/>
        <v>6</v>
      </c>
      <c r="N25" s="41">
        <v>3</v>
      </c>
      <c r="O25" s="53">
        <v>6</v>
      </c>
      <c r="P25" s="36">
        <v>3</v>
      </c>
      <c r="Q25" s="94">
        <v>1</v>
      </c>
      <c r="R25" s="36">
        <v>3</v>
      </c>
      <c r="S25" s="41">
        <v>5</v>
      </c>
      <c r="T25" s="335">
        <f t="shared" si="2"/>
        <v>3.5</v>
      </c>
      <c r="U25" s="183">
        <f t="shared" si="3"/>
        <v>4</v>
      </c>
      <c r="V25" s="183">
        <f t="shared" si="4"/>
        <v>5</v>
      </c>
    </row>
    <row r="26" spans="1:22" ht="12.75">
      <c r="A26" s="3">
        <f t="shared" si="5"/>
        <v>4</v>
      </c>
      <c r="B26" s="2">
        <v>24</v>
      </c>
      <c r="C26" s="14" t="s">
        <v>262</v>
      </c>
      <c r="D26" s="161">
        <v>7</v>
      </c>
      <c r="E26" s="135">
        <v>8</v>
      </c>
      <c r="F26" s="37">
        <v>6</v>
      </c>
      <c r="G26" s="38">
        <v>9</v>
      </c>
      <c r="H26" s="85">
        <v>6</v>
      </c>
      <c r="I26" s="203">
        <v>6</v>
      </c>
      <c r="J26" s="31">
        <v>7</v>
      </c>
      <c r="K26" s="41">
        <v>3</v>
      </c>
      <c r="L26" s="268">
        <f t="shared" si="0"/>
        <v>6.5</v>
      </c>
      <c r="M26" s="325">
        <f t="shared" si="6"/>
        <v>7</v>
      </c>
      <c r="N26" s="41">
        <v>3</v>
      </c>
      <c r="O26" s="53">
        <v>7</v>
      </c>
      <c r="P26" s="36">
        <v>4</v>
      </c>
      <c r="Q26" s="45">
        <v>3</v>
      </c>
      <c r="R26" s="36">
        <v>4</v>
      </c>
      <c r="S26" s="41">
        <v>3</v>
      </c>
      <c r="T26" s="335">
        <f t="shared" si="2"/>
        <v>4</v>
      </c>
      <c r="U26" s="183">
        <f t="shared" si="3"/>
        <v>4</v>
      </c>
      <c r="V26" s="183">
        <f t="shared" si="4"/>
        <v>5.5</v>
      </c>
    </row>
    <row r="27" spans="2:22" s="99" customFormat="1" ht="13.5" thickBot="1">
      <c r="B27" s="100"/>
      <c r="C27" s="180" t="s">
        <v>0</v>
      </c>
      <c r="D27" s="141">
        <f aca="true" t="shared" si="7" ref="D27:V27">AVERAGE(D3:D26)</f>
        <v>5.041666666666667</v>
      </c>
      <c r="E27" s="142">
        <f t="shared" si="7"/>
        <v>5.25</v>
      </c>
      <c r="F27" s="128">
        <f t="shared" si="7"/>
        <v>6.7272727272727275</v>
      </c>
      <c r="G27" s="127">
        <f t="shared" si="7"/>
        <v>6.166666666666667</v>
      </c>
      <c r="H27" s="103">
        <f t="shared" si="7"/>
        <v>4.15</v>
      </c>
      <c r="I27" s="104">
        <f t="shared" si="7"/>
        <v>6.857142857142857</v>
      </c>
      <c r="J27" s="103">
        <f t="shared" si="7"/>
        <v>6</v>
      </c>
      <c r="K27" s="104">
        <f t="shared" si="7"/>
        <v>5.588235294117647</v>
      </c>
      <c r="L27" s="294">
        <f>AVERAGE(L3:L26)</f>
        <v>5.631597222222223</v>
      </c>
      <c r="M27" s="308">
        <f>AVERAGE(M3:M26)</f>
        <v>5.708333333333333</v>
      </c>
      <c r="N27" s="104">
        <f t="shared" si="7"/>
        <v>4.916666666666667</v>
      </c>
      <c r="O27" s="126">
        <f t="shared" si="7"/>
        <v>6.416666666666667</v>
      </c>
      <c r="P27" s="127">
        <f t="shared" si="7"/>
        <v>4.458333333333333</v>
      </c>
      <c r="Q27" s="213">
        <f t="shared" si="7"/>
        <v>4.086956521739131</v>
      </c>
      <c r="R27" s="127">
        <f t="shared" si="7"/>
        <v>4.125</v>
      </c>
      <c r="S27" s="104">
        <f t="shared" si="7"/>
        <v>6.5</v>
      </c>
      <c r="T27" s="327">
        <f t="shared" si="7"/>
        <v>5.093055555555556</v>
      </c>
      <c r="U27" s="294">
        <f t="shared" si="7"/>
        <v>5.25</v>
      </c>
      <c r="V27" s="294">
        <f t="shared" si="7"/>
        <v>5.479166666666667</v>
      </c>
    </row>
    <row r="28" spans="2:22" s="99" customFormat="1" ht="13.5" thickBot="1">
      <c r="B28" s="100"/>
      <c r="C28" s="109"/>
      <c r="D28" s="137" t="s">
        <v>56</v>
      </c>
      <c r="E28" s="143" t="s">
        <v>57</v>
      </c>
      <c r="F28" s="138" t="s">
        <v>288</v>
      </c>
      <c r="G28" s="111" t="s">
        <v>197</v>
      </c>
      <c r="H28" s="114" t="s">
        <v>287</v>
      </c>
      <c r="I28" s="112" t="s">
        <v>289</v>
      </c>
      <c r="J28" s="112" t="s">
        <v>300</v>
      </c>
      <c r="K28" s="112" t="s">
        <v>301</v>
      </c>
      <c r="L28" s="266"/>
      <c r="M28" s="323"/>
      <c r="N28" s="112" t="s">
        <v>308</v>
      </c>
      <c r="O28" s="111" t="s">
        <v>309</v>
      </c>
      <c r="P28" s="110" t="s">
        <v>367</v>
      </c>
      <c r="Q28" s="110" t="s">
        <v>311</v>
      </c>
      <c r="R28" s="110" t="s">
        <v>313</v>
      </c>
      <c r="S28" s="160" t="s">
        <v>274</v>
      </c>
      <c r="T28" s="116"/>
      <c r="U28" s="117"/>
      <c r="V28" s="257"/>
    </row>
    <row r="29" spans="2:22" s="118" customFormat="1" ht="13.5" thickBot="1">
      <c r="B29" s="100"/>
      <c r="C29" s="119" t="s">
        <v>32</v>
      </c>
      <c r="D29" s="442" t="s">
        <v>270</v>
      </c>
      <c r="E29" s="440"/>
      <c r="F29" s="441"/>
      <c r="G29" s="442" t="s">
        <v>290</v>
      </c>
      <c r="H29" s="440"/>
      <c r="I29" s="441"/>
      <c r="J29" s="440" t="s">
        <v>361</v>
      </c>
      <c r="K29" s="441"/>
      <c r="L29" s="120">
        <f>M29/$B$26</f>
        <v>1</v>
      </c>
      <c r="M29" s="264">
        <f>COUNTIF(M3:M26,"&gt;2")</f>
        <v>24</v>
      </c>
      <c r="N29" s="111" t="s">
        <v>370</v>
      </c>
      <c r="O29" s="115" t="s">
        <v>371</v>
      </c>
      <c r="P29" s="442" t="s">
        <v>310</v>
      </c>
      <c r="Q29" s="441"/>
      <c r="R29" s="442" t="s">
        <v>312</v>
      </c>
      <c r="S29" s="441"/>
      <c r="T29" s="120">
        <f>U29/$B$26</f>
        <v>0.9166666666666666</v>
      </c>
      <c r="U29" s="121">
        <f>COUNTIF(U3:U26,"&gt;3")</f>
        <v>22</v>
      </c>
      <c r="V29" s="257"/>
    </row>
    <row r="30" spans="2:22" s="118" customFormat="1" ht="12.75">
      <c r="B30" s="100"/>
      <c r="C30" s="119" t="s">
        <v>33</v>
      </c>
      <c r="D30" s="122"/>
      <c r="E30" s="122"/>
      <c r="F30" s="122"/>
      <c r="G30" s="122"/>
      <c r="H30" s="122"/>
      <c r="I30" s="122"/>
      <c r="J30" s="122"/>
      <c r="K30" s="122"/>
      <c r="L30" s="120">
        <f>M30/$B$26</f>
        <v>0.5833333333333334</v>
      </c>
      <c r="M30" s="121">
        <f>COUNTIF(M3:M26,"&gt;5")</f>
        <v>14</v>
      </c>
      <c r="N30" s="122"/>
      <c r="O30" s="122"/>
      <c r="P30" s="122"/>
      <c r="Q30" s="122"/>
      <c r="R30" s="122"/>
      <c r="S30" s="122"/>
      <c r="T30" s="120">
        <f>U30/$B$26</f>
        <v>0.08333333333333333</v>
      </c>
      <c r="U30" s="121">
        <f>COUNTIF(U3:U26,"&gt;6")</f>
        <v>2</v>
      </c>
      <c r="V30" s="257"/>
    </row>
    <row r="32" ht="12.75">
      <c r="C32" t="s">
        <v>286</v>
      </c>
    </row>
  </sheetData>
  <sheetProtection/>
  <mergeCells count="5">
    <mergeCell ref="D29:F29"/>
    <mergeCell ref="G29:I29"/>
    <mergeCell ref="J29:K29"/>
    <mergeCell ref="P29:Q29"/>
    <mergeCell ref="R29:S29"/>
  </mergeCells>
  <conditionalFormatting sqref="L3:L26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M3:M26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L27:M27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T3:T26">
    <cfRule type="cellIs" priority="9" dxfId="1" operator="lessThan" stopIfTrue="1">
      <formula>2.5</formula>
    </cfRule>
    <cfRule type="cellIs" priority="10" dxfId="0" operator="greaterThanOrEqual" stopIfTrue="1">
      <formula>5.5</formula>
    </cfRule>
  </conditionalFormatting>
  <conditionalFormatting sqref="U3:U26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T27:U27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V3:V26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conditionalFormatting sqref="V27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24" sqref="C24"/>
    </sheetView>
  </sheetViews>
  <sheetFormatPr defaultColWidth="9.00390625" defaultRowHeight="12.75"/>
  <cols>
    <col min="1" max="1" width="13.25390625" style="0" hidden="1" customWidth="1"/>
    <col min="2" max="2" width="3.00390625" style="0" bestFit="1" customWidth="1"/>
    <col min="3" max="3" width="23.25390625" style="0" customWidth="1"/>
    <col min="4" max="4" width="5.125" style="0" customWidth="1"/>
    <col min="5" max="5" width="5.875" style="0" customWidth="1"/>
    <col min="6" max="7" width="5.625" style="0" customWidth="1"/>
    <col min="8" max="9" width="5.375" style="0" customWidth="1"/>
    <col min="10" max="10" width="9.875" style="3" customWidth="1"/>
    <col min="11" max="11" width="9.125" style="125" customWidth="1"/>
    <col min="12" max="15" width="5.375" style="0" customWidth="1"/>
    <col min="16" max="16" width="6.375" style="0" customWidth="1"/>
    <col min="17" max="17" width="9.875" style="3" customWidth="1"/>
    <col min="18" max="19" width="9.125" style="125" customWidth="1"/>
  </cols>
  <sheetData>
    <row r="1" spans="4:40" ht="16.5" thickBot="1">
      <c r="D1" s="200"/>
      <c r="E1" s="200"/>
      <c r="F1" s="200"/>
      <c r="G1" s="200"/>
      <c r="H1" s="65"/>
      <c r="I1" s="65"/>
      <c r="J1" s="24"/>
      <c r="K1" s="123"/>
      <c r="L1" s="65"/>
      <c r="M1" s="65"/>
      <c r="N1" s="65"/>
      <c r="O1" s="65"/>
      <c r="P1" s="65"/>
      <c r="Q1" s="24"/>
      <c r="R1" s="123"/>
      <c r="S1" s="12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5"/>
      <c r="AJ1" s="26"/>
      <c r="AM1" s="6"/>
      <c r="AN1" s="7"/>
    </row>
    <row r="2" spans="2:36" ht="16.5" customHeight="1" thickBot="1">
      <c r="B2" s="27" t="s">
        <v>47</v>
      </c>
      <c r="C2" s="29" t="s">
        <v>23</v>
      </c>
      <c r="D2" s="33"/>
      <c r="E2" s="34">
        <v>44099</v>
      </c>
      <c r="F2" s="33">
        <v>44133</v>
      </c>
      <c r="G2" s="34">
        <v>44147</v>
      </c>
      <c r="H2" s="62">
        <v>44176</v>
      </c>
      <c r="I2" s="34">
        <v>44180</v>
      </c>
      <c r="J2" s="134" t="s">
        <v>21</v>
      </c>
      <c r="K2" s="124" t="s">
        <v>81</v>
      </c>
      <c r="L2" s="46">
        <v>44228</v>
      </c>
      <c r="M2" s="50">
        <v>44232</v>
      </c>
      <c r="N2" s="73"/>
      <c r="O2" s="140">
        <v>44329</v>
      </c>
      <c r="P2" s="64">
        <v>44344</v>
      </c>
      <c r="Q2" s="262" t="s">
        <v>21</v>
      </c>
      <c r="R2" s="124" t="s">
        <v>305</v>
      </c>
      <c r="S2" s="124" t="s">
        <v>314</v>
      </c>
      <c r="AC2" s="13"/>
      <c r="AD2" s="13"/>
      <c r="AE2" s="13"/>
      <c r="AF2" s="13"/>
      <c r="AG2" s="13"/>
      <c r="AH2" s="13"/>
      <c r="AI2" s="13"/>
      <c r="AJ2" s="13"/>
    </row>
    <row r="3" spans="1:22" ht="12.75">
      <c r="A3" s="3">
        <f>Q3</f>
        <v>3.75</v>
      </c>
      <c r="B3" s="2">
        <v>1</v>
      </c>
      <c r="C3" s="2" t="s">
        <v>155</v>
      </c>
      <c r="D3" s="56"/>
      <c r="E3" s="139">
        <v>7</v>
      </c>
      <c r="F3" s="151" t="s">
        <v>74</v>
      </c>
      <c r="G3" s="147">
        <v>2</v>
      </c>
      <c r="H3" s="154">
        <v>5</v>
      </c>
      <c r="I3" s="57">
        <v>5</v>
      </c>
      <c r="J3" s="268">
        <f aca="true" t="shared" si="0" ref="J3:J26">AVERAGE(D3:I3)</f>
        <v>4.75</v>
      </c>
      <c r="K3" s="183">
        <f aca="true" t="shared" si="1" ref="K3:K9">ROUND(J3,0)</f>
        <v>5</v>
      </c>
      <c r="L3" s="47">
        <v>5</v>
      </c>
      <c r="M3" s="44">
        <v>3</v>
      </c>
      <c r="N3" s="55"/>
      <c r="O3" s="71">
        <v>6</v>
      </c>
      <c r="P3" s="357">
        <v>1</v>
      </c>
      <c r="Q3" s="335">
        <f aca="true" t="shared" si="2" ref="Q3:Q26">AVERAGE(L3:P3)</f>
        <v>3.75</v>
      </c>
      <c r="R3" s="183">
        <f aca="true" t="shared" si="3" ref="R3:R26">ROUND(Q3,0)</f>
        <v>4</v>
      </c>
      <c r="S3" s="183">
        <f>AVERAGE(K3,R3)</f>
        <v>4.5</v>
      </c>
      <c r="T3" s="1" t="s">
        <v>27</v>
      </c>
      <c r="U3" s="1">
        <f>COUNTIF(R3:R26,"&gt;8")</f>
        <v>0</v>
      </c>
      <c r="V3" s="17">
        <f>U3/$B$26</f>
        <v>0</v>
      </c>
    </row>
    <row r="4" spans="1:22" ht="12.75">
      <c r="A4" s="3">
        <f aca="true" t="shared" si="4" ref="A4:A26">Q4</f>
        <v>7.5</v>
      </c>
      <c r="B4" s="2">
        <v>2</v>
      </c>
      <c r="C4" s="2" t="s">
        <v>156</v>
      </c>
      <c r="D4" s="38">
        <v>9</v>
      </c>
      <c r="E4" s="135">
        <v>5</v>
      </c>
      <c r="F4" s="135">
        <v>5</v>
      </c>
      <c r="G4" s="37">
        <v>7</v>
      </c>
      <c r="H4" s="85">
        <v>10</v>
      </c>
      <c r="I4" s="41">
        <v>5</v>
      </c>
      <c r="J4" s="268">
        <f t="shared" si="0"/>
        <v>6.833333333333333</v>
      </c>
      <c r="K4" s="183">
        <f t="shared" si="1"/>
        <v>7</v>
      </c>
      <c r="L4" s="49">
        <v>9</v>
      </c>
      <c r="M4" s="45">
        <v>7</v>
      </c>
      <c r="N4" s="36"/>
      <c r="O4" s="31">
        <v>7</v>
      </c>
      <c r="P4" s="41">
        <v>7</v>
      </c>
      <c r="Q4" s="335">
        <f t="shared" si="2"/>
        <v>7.5</v>
      </c>
      <c r="R4" s="183">
        <f t="shared" si="3"/>
        <v>8</v>
      </c>
      <c r="S4" s="183">
        <f aca="true" t="shared" si="5" ref="S4:S26">AVERAGE(K4,R4)</f>
        <v>7.5</v>
      </c>
      <c r="T4" s="1" t="s">
        <v>28</v>
      </c>
      <c r="U4" s="18">
        <f>COUNTIF(R3:R26,7)+COUNTIF(R3:R26,8)+COUNTIF(R3:R26,6)</f>
        <v>16</v>
      </c>
      <c r="V4" s="17">
        <f>U4/$B$26</f>
        <v>0.6666666666666666</v>
      </c>
    </row>
    <row r="5" spans="1:22" ht="12.75">
      <c r="A5" s="3">
        <f t="shared" si="4"/>
        <v>7</v>
      </c>
      <c r="B5" s="2">
        <v>3</v>
      </c>
      <c r="C5" s="2" t="s">
        <v>157</v>
      </c>
      <c r="D5" s="38"/>
      <c r="E5" s="135">
        <v>9</v>
      </c>
      <c r="F5" s="149" t="s">
        <v>74</v>
      </c>
      <c r="G5" s="146">
        <v>7</v>
      </c>
      <c r="H5" s="270">
        <v>3</v>
      </c>
      <c r="I5" s="247" t="s">
        <v>74</v>
      </c>
      <c r="J5" s="268">
        <f t="shared" si="0"/>
        <v>6.333333333333333</v>
      </c>
      <c r="K5" s="183">
        <f t="shared" si="1"/>
        <v>6</v>
      </c>
      <c r="L5" s="49">
        <v>9</v>
      </c>
      <c r="M5" s="94">
        <v>6</v>
      </c>
      <c r="N5" s="36"/>
      <c r="O5" s="31">
        <v>6</v>
      </c>
      <c r="P5" s="41">
        <v>7</v>
      </c>
      <c r="Q5" s="335">
        <f t="shared" si="2"/>
        <v>7</v>
      </c>
      <c r="R5" s="183">
        <f t="shared" si="3"/>
        <v>7</v>
      </c>
      <c r="S5" s="183">
        <f t="shared" si="5"/>
        <v>6.5</v>
      </c>
      <c r="T5" s="1" t="s">
        <v>29</v>
      </c>
      <c r="U5" s="18">
        <f>COUNTIF(R3:R26,3)+COUNTIF(R3:R26,4)+COUNTIF(R3:R26,5)</f>
        <v>7</v>
      </c>
      <c r="V5" s="17">
        <f>U5/$B$26</f>
        <v>0.2916666666666667</v>
      </c>
    </row>
    <row r="6" spans="1:22" ht="12.75">
      <c r="A6" s="3">
        <f t="shared" si="4"/>
        <v>3</v>
      </c>
      <c r="B6" s="2">
        <v>4</v>
      </c>
      <c r="C6" s="2" t="s">
        <v>158</v>
      </c>
      <c r="D6" s="38"/>
      <c r="E6" s="135">
        <v>8</v>
      </c>
      <c r="F6" s="5">
        <v>5</v>
      </c>
      <c r="G6" s="146">
        <v>7</v>
      </c>
      <c r="H6" s="252" t="s">
        <v>74</v>
      </c>
      <c r="I6" s="41">
        <v>6</v>
      </c>
      <c r="J6" s="268">
        <f t="shared" si="0"/>
        <v>6.5</v>
      </c>
      <c r="K6" s="183">
        <f t="shared" si="1"/>
        <v>7</v>
      </c>
      <c r="L6" s="299">
        <v>7</v>
      </c>
      <c r="M6" s="326" t="s">
        <v>74</v>
      </c>
      <c r="N6" s="36"/>
      <c r="O6" s="270">
        <v>1</v>
      </c>
      <c r="P6" s="269">
        <v>1</v>
      </c>
      <c r="Q6" s="335">
        <f t="shared" si="2"/>
        <v>3</v>
      </c>
      <c r="R6" s="183">
        <f t="shared" si="3"/>
        <v>3</v>
      </c>
      <c r="S6" s="183">
        <f t="shared" si="5"/>
        <v>5</v>
      </c>
      <c r="T6" s="1" t="s">
        <v>30</v>
      </c>
      <c r="U6" s="1">
        <f>COUNTIF(R3:R26,"&lt;3")</f>
        <v>1</v>
      </c>
      <c r="V6" s="17">
        <f>U6/$B$26</f>
        <v>0.041666666666666664</v>
      </c>
    </row>
    <row r="7" spans="1:22" ht="12.75">
      <c r="A7" s="3">
        <f t="shared" si="4"/>
        <v>7.5</v>
      </c>
      <c r="B7" s="2">
        <v>5</v>
      </c>
      <c r="C7" s="2" t="s">
        <v>159</v>
      </c>
      <c r="D7" s="38"/>
      <c r="E7" s="135">
        <v>7</v>
      </c>
      <c r="F7" s="5">
        <v>3</v>
      </c>
      <c r="G7" s="146">
        <v>7</v>
      </c>
      <c r="H7" s="31">
        <v>9</v>
      </c>
      <c r="I7" s="41">
        <v>8</v>
      </c>
      <c r="J7" s="268">
        <f t="shared" si="0"/>
        <v>6.8</v>
      </c>
      <c r="K7" s="183">
        <f t="shared" si="1"/>
        <v>7</v>
      </c>
      <c r="L7" s="49">
        <v>8</v>
      </c>
      <c r="M7" s="94">
        <v>7</v>
      </c>
      <c r="N7" s="36"/>
      <c r="O7" s="31">
        <v>9</v>
      </c>
      <c r="P7" s="41">
        <v>6</v>
      </c>
      <c r="Q7" s="335">
        <f t="shared" si="2"/>
        <v>7.5</v>
      </c>
      <c r="R7" s="183">
        <f t="shared" si="3"/>
        <v>8</v>
      </c>
      <c r="S7" s="183">
        <f t="shared" si="5"/>
        <v>7.5</v>
      </c>
      <c r="T7" s="19" t="s">
        <v>31</v>
      </c>
      <c r="U7" s="1">
        <f>B26-SUM(U3:U6)</f>
        <v>0</v>
      </c>
      <c r="V7" s="17">
        <f>U7/$B$26</f>
        <v>0</v>
      </c>
    </row>
    <row r="8" spans="1:19" ht="12.75">
      <c r="A8" s="3">
        <f t="shared" si="4"/>
        <v>7.5</v>
      </c>
      <c r="B8" s="2">
        <v>6</v>
      </c>
      <c r="C8" s="2" t="s">
        <v>160</v>
      </c>
      <c r="D8" s="38"/>
      <c r="E8" s="135">
        <v>6</v>
      </c>
      <c r="F8" s="5">
        <v>3</v>
      </c>
      <c r="G8" s="146">
        <v>1</v>
      </c>
      <c r="H8" s="85">
        <v>9</v>
      </c>
      <c r="I8" s="41">
        <v>8</v>
      </c>
      <c r="J8" s="268">
        <f t="shared" si="0"/>
        <v>5.4</v>
      </c>
      <c r="K8" s="183">
        <f t="shared" si="1"/>
        <v>5</v>
      </c>
      <c r="L8" s="49">
        <v>8</v>
      </c>
      <c r="M8" s="94">
        <v>7</v>
      </c>
      <c r="N8" s="36"/>
      <c r="O8" s="31">
        <v>8</v>
      </c>
      <c r="P8" s="41">
        <v>7</v>
      </c>
      <c r="Q8" s="335">
        <f t="shared" si="2"/>
        <v>7.5</v>
      </c>
      <c r="R8" s="183">
        <f t="shared" si="3"/>
        <v>8</v>
      </c>
      <c r="S8" s="183">
        <f t="shared" si="5"/>
        <v>6.5</v>
      </c>
    </row>
    <row r="9" spans="1:19" ht="12.75">
      <c r="A9" s="3">
        <f t="shared" si="4"/>
        <v>4.5</v>
      </c>
      <c r="B9" s="2">
        <v>7</v>
      </c>
      <c r="C9" s="2" t="s">
        <v>222</v>
      </c>
      <c r="D9" s="38">
        <v>9</v>
      </c>
      <c r="E9" s="135">
        <v>8</v>
      </c>
      <c r="F9" s="5">
        <v>3</v>
      </c>
      <c r="G9" s="37">
        <v>6</v>
      </c>
      <c r="H9" s="85">
        <v>10</v>
      </c>
      <c r="I9" s="41">
        <v>4</v>
      </c>
      <c r="J9" s="268">
        <f t="shared" si="0"/>
        <v>6.666666666666667</v>
      </c>
      <c r="K9" s="183">
        <f t="shared" si="1"/>
        <v>7</v>
      </c>
      <c r="L9" s="49">
        <v>8</v>
      </c>
      <c r="M9" s="45">
        <v>3</v>
      </c>
      <c r="N9" s="36"/>
      <c r="O9" s="31">
        <v>3</v>
      </c>
      <c r="P9" s="41">
        <v>4</v>
      </c>
      <c r="Q9" s="335">
        <f t="shared" si="2"/>
        <v>4.5</v>
      </c>
      <c r="R9" s="183">
        <f t="shared" si="3"/>
        <v>5</v>
      </c>
      <c r="S9" s="183">
        <f t="shared" si="5"/>
        <v>6</v>
      </c>
    </row>
    <row r="10" spans="1:19" ht="12.75">
      <c r="A10" s="3">
        <f t="shared" si="4"/>
        <v>5</v>
      </c>
      <c r="B10" s="2">
        <v>8</v>
      </c>
      <c r="C10" s="2" t="s">
        <v>161</v>
      </c>
      <c r="D10" s="38">
        <v>9</v>
      </c>
      <c r="E10" s="135">
        <v>7</v>
      </c>
      <c r="F10" s="5">
        <v>4</v>
      </c>
      <c r="G10" s="146">
        <v>7</v>
      </c>
      <c r="H10" s="135">
        <v>6</v>
      </c>
      <c r="I10" s="41">
        <v>5</v>
      </c>
      <c r="J10" s="268">
        <f t="shared" si="0"/>
        <v>6.333333333333333</v>
      </c>
      <c r="K10" s="183">
        <v>7</v>
      </c>
      <c r="L10" s="49">
        <v>9</v>
      </c>
      <c r="M10" s="94">
        <v>3</v>
      </c>
      <c r="N10" s="36"/>
      <c r="O10" s="31">
        <v>4</v>
      </c>
      <c r="P10" s="41">
        <v>4</v>
      </c>
      <c r="Q10" s="335">
        <f t="shared" si="2"/>
        <v>5</v>
      </c>
      <c r="R10" s="183">
        <f t="shared" si="3"/>
        <v>5</v>
      </c>
      <c r="S10" s="183">
        <f t="shared" si="5"/>
        <v>6</v>
      </c>
    </row>
    <row r="11" spans="1:19" ht="12.75">
      <c r="A11" s="3">
        <f t="shared" si="4"/>
        <v>5.75</v>
      </c>
      <c r="B11" s="2">
        <v>9</v>
      </c>
      <c r="C11" s="2" t="s">
        <v>162</v>
      </c>
      <c r="D11" s="38"/>
      <c r="E11" s="135">
        <v>7</v>
      </c>
      <c r="F11" s="5">
        <v>4</v>
      </c>
      <c r="G11" s="146">
        <v>5</v>
      </c>
      <c r="H11" s="31">
        <v>10</v>
      </c>
      <c r="I11" s="41">
        <v>8</v>
      </c>
      <c r="J11" s="268">
        <f t="shared" si="0"/>
        <v>6.8</v>
      </c>
      <c r="K11" s="183">
        <f>ROUND(J11,0)</f>
        <v>7</v>
      </c>
      <c r="L11" s="299">
        <v>9</v>
      </c>
      <c r="M11" s="94">
        <v>1</v>
      </c>
      <c r="N11" s="36"/>
      <c r="O11" s="135">
        <v>7</v>
      </c>
      <c r="P11" s="41">
        <v>6</v>
      </c>
      <c r="Q11" s="335">
        <f t="shared" si="2"/>
        <v>5.75</v>
      </c>
      <c r="R11" s="183">
        <f t="shared" si="3"/>
        <v>6</v>
      </c>
      <c r="S11" s="183">
        <f t="shared" si="5"/>
        <v>6.5</v>
      </c>
    </row>
    <row r="12" spans="1:19" ht="12.75">
      <c r="A12" s="3">
        <f t="shared" si="4"/>
        <v>6.5</v>
      </c>
      <c r="B12" s="2">
        <v>10</v>
      </c>
      <c r="C12" s="2" t="s">
        <v>163</v>
      </c>
      <c r="D12" s="38">
        <v>9</v>
      </c>
      <c r="E12" s="135">
        <v>7</v>
      </c>
      <c r="F12" s="5">
        <v>4</v>
      </c>
      <c r="G12" s="37">
        <v>3</v>
      </c>
      <c r="H12" s="85">
        <v>9</v>
      </c>
      <c r="I12" s="41">
        <v>6</v>
      </c>
      <c r="J12" s="268">
        <f t="shared" si="0"/>
        <v>6.333333333333333</v>
      </c>
      <c r="K12" s="183">
        <v>7</v>
      </c>
      <c r="L12" s="49">
        <v>9</v>
      </c>
      <c r="M12" s="94">
        <v>3</v>
      </c>
      <c r="N12" s="36"/>
      <c r="O12" s="31">
        <v>9</v>
      </c>
      <c r="P12" s="41">
        <v>5</v>
      </c>
      <c r="Q12" s="335">
        <f t="shared" si="2"/>
        <v>6.5</v>
      </c>
      <c r="R12" s="183">
        <f t="shared" si="3"/>
        <v>7</v>
      </c>
      <c r="S12" s="183">
        <f t="shared" si="5"/>
        <v>7</v>
      </c>
    </row>
    <row r="13" spans="1:19" ht="12.75">
      <c r="A13" s="3">
        <f t="shared" si="4"/>
        <v>7.5</v>
      </c>
      <c r="B13" s="2">
        <v>11</v>
      </c>
      <c r="C13" s="2" t="s">
        <v>164</v>
      </c>
      <c r="D13" s="38"/>
      <c r="E13" s="135">
        <v>7</v>
      </c>
      <c r="F13" s="5">
        <v>3</v>
      </c>
      <c r="G13" s="146">
        <v>7</v>
      </c>
      <c r="H13" s="31">
        <v>9</v>
      </c>
      <c r="I13" s="41">
        <v>6</v>
      </c>
      <c r="J13" s="268">
        <f t="shared" si="0"/>
        <v>6.4</v>
      </c>
      <c r="K13" s="183">
        <v>7</v>
      </c>
      <c r="L13" s="49">
        <v>9</v>
      </c>
      <c r="M13" s="94">
        <v>6</v>
      </c>
      <c r="N13" s="36"/>
      <c r="O13" s="31">
        <v>9</v>
      </c>
      <c r="P13" s="41">
        <v>6</v>
      </c>
      <c r="Q13" s="335">
        <f t="shared" si="2"/>
        <v>7.5</v>
      </c>
      <c r="R13" s="183">
        <f t="shared" si="3"/>
        <v>8</v>
      </c>
      <c r="S13" s="183">
        <f t="shared" si="5"/>
        <v>7.5</v>
      </c>
    </row>
    <row r="14" spans="1:19" ht="12.75">
      <c r="A14" s="3">
        <f t="shared" si="4"/>
        <v>1</v>
      </c>
      <c r="B14" s="2">
        <v>12</v>
      </c>
      <c r="C14" s="2" t="s">
        <v>165</v>
      </c>
      <c r="D14" s="38"/>
      <c r="E14" s="144" t="s">
        <v>74</v>
      </c>
      <c r="F14" s="135">
        <v>3</v>
      </c>
      <c r="G14" s="146">
        <v>1</v>
      </c>
      <c r="H14" s="253" t="s">
        <v>74</v>
      </c>
      <c r="I14" s="269">
        <v>4</v>
      </c>
      <c r="J14" s="268">
        <f t="shared" si="0"/>
        <v>2.6666666666666665</v>
      </c>
      <c r="K14" s="183">
        <f>ROUND(J14,0)</f>
        <v>3</v>
      </c>
      <c r="L14" s="328" t="s">
        <v>74</v>
      </c>
      <c r="M14" s="94">
        <v>1</v>
      </c>
      <c r="N14" s="36"/>
      <c r="O14" s="270">
        <v>1</v>
      </c>
      <c r="P14" s="269">
        <v>1</v>
      </c>
      <c r="Q14" s="335">
        <f t="shared" si="2"/>
        <v>1</v>
      </c>
      <c r="R14" s="183">
        <f t="shared" si="3"/>
        <v>1</v>
      </c>
      <c r="S14" s="183">
        <f t="shared" si="5"/>
        <v>2</v>
      </c>
    </row>
    <row r="15" spans="1:19" ht="12.75">
      <c r="A15" s="3">
        <f t="shared" si="4"/>
        <v>5.5</v>
      </c>
      <c r="B15" s="2">
        <v>13</v>
      </c>
      <c r="C15" s="2" t="s">
        <v>166</v>
      </c>
      <c r="D15" s="38"/>
      <c r="E15" s="135">
        <v>10</v>
      </c>
      <c r="F15" s="135">
        <v>5</v>
      </c>
      <c r="G15" s="37">
        <v>5</v>
      </c>
      <c r="H15" s="85">
        <v>10</v>
      </c>
      <c r="I15" s="41">
        <v>7</v>
      </c>
      <c r="J15" s="268">
        <f t="shared" si="0"/>
        <v>7.4</v>
      </c>
      <c r="K15" s="183">
        <v>8</v>
      </c>
      <c r="L15" s="299">
        <v>7</v>
      </c>
      <c r="M15" s="94">
        <v>4</v>
      </c>
      <c r="N15" s="36"/>
      <c r="O15" s="135">
        <v>4</v>
      </c>
      <c r="P15" s="41">
        <v>7</v>
      </c>
      <c r="Q15" s="335">
        <f t="shared" si="2"/>
        <v>5.5</v>
      </c>
      <c r="R15" s="183">
        <f t="shared" si="3"/>
        <v>6</v>
      </c>
      <c r="S15" s="183">
        <f t="shared" si="5"/>
        <v>7</v>
      </c>
    </row>
    <row r="16" spans="1:19" ht="12.75">
      <c r="A16" s="3">
        <f t="shared" si="4"/>
        <v>6.5</v>
      </c>
      <c r="B16" s="2">
        <v>14</v>
      </c>
      <c r="C16" s="2" t="s">
        <v>167</v>
      </c>
      <c r="D16" s="38"/>
      <c r="E16" s="135">
        <v>9</v>
      </c>
      <c r="F16" s="5">
        <v>5</v>
      </c>
      <c r="G16" s="37">
        <v>5</v>
      </c>
      <c r="H16" s="85">
        <v>9</v>
      </c>
      <c r="I16" s="41">
        <v>7</v>
      </c>
      <c r="J16" s="268">
        <f t="shared" si="0"/>
        <v>7</v>
      </c>
      <c r="K16" s="183">
        <f>ROUND(J16,0)</f>
        <v>7</v>
      </c>
      <c r="L16" s="49">
        <v>9</v>
      </c>
      <c r="M16" s="45">
        <v>6</v>
      </c>
      <c r="N16" s="36"/>
      <c r="O16" s="31">
        <v>8</v>
      </c>
      <c r="P16" s="41">
        <v>3</v>
      </c>
      <c r="Q16" s="335">
        <f t="shared" si="2"/>
        <v>6.5</v>
      </c>
      <c r="R16" s="183">
        <f t="shared" si="3"/>
        <v>7</v>
      </c>
      <c r="S16" s="183">
        <f t="shared" si="5"/>
        <v>7</v>
      </c>
    </row>
    <row r="17" spans="1:19" ht="12.75">
      <c r="A17" s="3">
        <f t="shared" si="4"/>
        <v>7.4</v>
      </c>
      <c r="B17" s="2">
        <v>15</v>
      </c>
      <c r="C17" s="2" t="s">
        <v>168</v>
      </c>
      <c r="D17" s="38"/>
      <c r="E17" s="135">
        <v>7</v>
      </c>
      <c r="F17" s="5">
        <v>3</v>
      </c>
      <c r="G17" s="37">
        <v>6</v>
      </c>
      <c r="H17" s="85">
        <v>9</v>
      </c>
      <c r="I17" s="41">
        <v>8</v>
      </c>
      <c r="J17" s="268">
        <f t="shared" si="0"/>
        <v>6.6</v>
      </c>
      <c r="K17" s="183">
        <f>ROUND(J17,0)</f>
        <v>7</v>
      </c>
      <c r="L17" s="49">
        <v>9</v>
      </c>
      <c r="M17" s="45">
        <v>7</v>
      </c>
      <c r="N17" s="36">
        <v>10</v>
      </c>
      <c r="O17" s="31">
        <v>7</v>
      </c>
      <c r="P17" s="41">
        <v>4</v>
      </c>
      <c r="Q17" s="335">
        <f t="shared" si="2"/>
        <v>7.4</v>
      </c>
      <c r="R17" s="183">
        <v>8</v>
      </c>
      <c r="S17" s="183">
        <f t="shared" si="5"/>
        <v>7.5</v>
      </c>
    </row>
    <row r="18" spans="1:19" ht="12.75">
      <c r="A18" s="3">
        <f t="shared" si="4"/>
        <v>7.75</v>
      </c>
      <c r="B18" s="2">
        <v>16</v>
      </c>
      <c r="C18" s="2" t="s">
        <v>169</v>
      </c>
      <c r="D18" s="38"/>
      <c r="E18" s="135">
        <v>9</v>
      </c>
      <c r="F18" s="5">
        <v>5</v>
      </c>
      <c r="G18" s="37">
        <v>5</v>
      </c>
      <c r="H18" s="85">
        <v>9</v>
      </c>
      <c r="I18" s="41">
        <v>8</v>
      </c>
      <c r="J18" s="268">
        <f t="shared" si="0"/>
        <v>7.2</v>
      </c>
      <c r="K18" s="183">
        <v>8</v>
      </c>
      <c r="L18" s="49">
        <v>9</v>
      </c>
      <c r="M18" s="45">
        <v>6</v>
      </c>
      <c r="N18" s="36"/>
      <c r="O18" s="31">
        <v>9</v>
      </c>
      <c r="P18" s="41">
        <v>7</v>
      </c>
      <c r="Q18" s="335">
        <f t="shared" si="2"/>
        <v>7.75</v>
      </c>
      <c r="R18" s="183">
        <f t="shared" si="3"/>
        <v>8</v>
      </c>
      <c r="S18" s="183">
        <f t="shared" si="5"/>
        <v>8</v>
      </c>
    </row>
    <row r="19" spans="1:19" ht="12.75">
      <c r="A19" s="3">
        <f t="shared" si="4"/>
        <v>6.5</v>
      </c>
      <c r="B19" s="2">
        <v>17</v>
      </c>
      <c r="C19" s="2" t="s">
        <v>170</v>
      </c>
      <c r="D19" s="38"/>
      <c r="E19" s="135">
        <v>8</v>
      </c>
      <c r="F19" s="5">
        <v>5</v>
      </c>
      <c r="G19" s="146">
        <v>6</v>
      </c>
      <c r="H19" s="85">
        <v>10</v>
      </c>
      <c r="I19" s="146">
        <v>6</v>
      </c>
      <c r="J19" s="268">
        <f t="shared" si="0"/>
        <v>7</v>
      </c>
      <c r="K19" s="183">
        <f>ROUND(J19,0)</f>
        <v>7</v>
      </c>
      <c r="L19" s="49">
        <v>9</v>
      </c>
      <c r="M19" s="45">
        <v>5</v>
      </c>
      <c r="N19" s="36"/>
      <c r="O19" s="31">
        <v>6</v>
      </c>
      <c r="P19" s="41">
        <v>6</v>
      </c>
      <c r="Q19" s="335">
        <f t="shared" si="2"/>
        <v>6.5</v>
      </c>
      <c r="R19" s="183">
        <f t="shared" si="3"/>
        <v>7</v>
      </c>
      <c r="S19" s="183">
        <f t="shared" si="5"/>
        <v>7</v>
      </c>
    </row>
    <row r="20" spans="1:19" ht="12.75">
      <c r="A20" s="3">
        <f t="shared" si="4"/>
        <v>7</v>
      </c>
      <c r="B20" s="2">
        <v>18</v>
      </c>
      <c r="C20" s="2" t="s">
        <v>172</v>
      </c>
      <c r="D20" s="38"/>
      <c r="E20" s="135">
        <v>10</v>
      </c>
      <c r="F20" s="135">
        <v>5</v>
      </c>
      <c r="G20" s="146">
        <v>7</v>
      </c>
      <c r="H20" s="253" t="s">
        <v>74</v>
      </c>
      <c r="I20" s="41">
        <v>8</v>
      </c>
      <c r="J20" s="268">
        <f t="shared" si="0"/>
        <v>7.5</v>
      </c>
      <c r="K20" s="183">
        <f>ROUND(J20,0)</f>
        <v>8</v>
      </c>
      <c r="L20" s="49">
        <v>8</v>
      </c>
      <c r="M20" s="94">
        <v>8</v>
      </c>
      <c r="N20" s="36"/>
      <c r="O20" s="31">
        <v>9</v>
      </c>
      <c r="P20" s="269">
        <v>3</v>
      </c>
      <c r="Q20" s="335">
        <f t="shared" si="2"/>
        <v>7</v>
      </c>
      <c r="R20" s="183">
        <f t="shared" si="3"/>
        <v>7</v>
      </c>
      <c r="S20" s="183">
        <f t="shared" si="5"/>
        <v>7.5</v>
      </c>
    </row>
    <row r="21" spans="1:19" ht="12.75">
      <c r="A21" s="3">
        <f t="shared" si="4"/>
        <v>5.25</v>
      </c>
      <c r="B21" s="2">
        <v>19</v>
      </c>
      <c r="C21" s="2" t="s">
        <v>173</v>
      </c>
      <c r="D21" s="38"/>
      <c r="E21" s="135">
        <v>6</v>
      </c>
      <c r="F21" s="5">
        <v>3</v>
      </c>
      <c r="G21" s="37">
        <v>3</v>
      </c>
      <c r="H21" s="31">
        <v>9</v>
      </c>
      <c r="I21" s="41">
        <v>3</v>
      </c>
      <c r="J21" s="268">
        <f t="shared" si="0"/>
        <v>4.8</v>
      </c>
      <c r="K21" s="183">
        <f>ROUND(J21,0)</f>
        <v>5</v>
      </c>
      <c r="L21" s="49">
        <v>8</v>
      </c>
      <c r="M21" s="45">
        <v>3</v>
      </c>
      <c r="N21" s="36"/>
      <c r="O21" s="135">
        <v>8</v>
      </c>
      <c r="P21" s="146">
        <v>2</v>
      </c>
      <c r="Q21" s="335">
        <f t="shared" si="2"/>
        <v>5.25</v>
      </c>
      <c r="R21" s="183">
        <f t="shared" si="3"/>
        <v>5</v>
      </c>
      <c r="S21" s="183">
        <f t="shared" si="5"/>
        <v>5</v>
      </c>
    </row>
    <row r="22" spans="1:19" ht="12.75">
      <c r="A22" s="3">
        <f t="shared" si="4"/>
        <v>3.6666666666666665</v>
      </c>
      <c r="B22" s="2">
        <v>20</v>
      </c>
      <c r="C22" s="2" t="s">
        <v>174</v>
      </c>
      <c r="D22" s="38"/>
      <c r="E22" s="135">
        <v>6</v>
      </c>
      <c r="F22" s="31">
        <v>4</v>
      </c>
      <c r="G22" s="269">
        <v>3</v>
      </c>
      <c r="H22" s="252" t="s">
        <v>74</v>
      </c>
      <c r="I22" s="247" t="s">
        <v>74</v>
      </c>
      <c r="J22" s="268">
        <f t="shared" si="0"/>
        <v>4.333333333333333</v>
      </c>
      <c r="K22" s="183">
        <f>ROUND(J22,0)</f>
        <v>4</v>
      </c>
      <c r="L22" s="328" t="s">
        <v>74</v>
      </c>
      <c r="M22" s="94">
        <v>1</v>
      </c>
      <c r="N22" s="36"/>
      <c r="O22" s="31">
        <v>6</v>
      </c>
      <c r="P22" s="41">
        <v>4</v>
      </c>
      <c r="Q22" s="335">
        <f t="shared" si="2"/>
        <v>3.6666666666666665</v>
      </c>
      <c r="R22" s="183">
        <f t="shared" si="3"/>
        <v>4</v>
      </c>
      <c r="S22" s="183">
        <f t="shared" si="5"/>
        <v>4</v>
      </c>
    </row>
    <row r="23" spans="1:19" ht="12.75">
      <c r="A23" s="3">
        <f t="shared" si="4"/>
        <v>6</v>
      </c>
      <c r="B23" s="2">
        <v>21</v>
      </c>
      <c r="C23" s="2" t="s">
        <v>175</v>
      </c>
      <c r="D23" s="38"/>
      <c r="E23" s="135">
        <v>7</v>
      </c>
      <c r="F23" s="135">
        <v>4</v>
      </c>
      <c r="G23" s="146">
        <v>7</v>
      </c>
      <c r="H23" s="31">
        <v>6</v>
      </c>
      <c r="I23" s="41">
        <v>8</v>
      </c>
      <c r="J23" s="268">
        <f t="shared" si="0"/>
        <v>6.4</v>
      </c>
      <c r="K23" s="183">
        <v>7</v>
      </c>
      <c r="L23" s="49">
        <v>9</v>
      </c>
      <c r="M23" s="94">
        <v>2</v>
      </c>
      <c r="N23" s="36"/>
      <c r="O23" s="31">
        <v>8</v>
      </c>
      <c r="P23" s="41">
        <v>5</v>
      </c>
      <c r="Q23" s="335">
        <f t="shared" si="2"/>
        <v>6</v>
      </c>
      <c r="R23" s="183">
        <f t="shared" si="3"/>
        <v>6</v>
      </c>
      <c r="S23" s="183">
        <f t="shared" si="5"/>
        <v>6.5</v>
      </c>
    </row>
    <row r="24" spans="1:19" ht="12.75">
      <c r="A24" s="3">
        <f t="shared" si="4"/>
        <v>5.75</v>
      </c>
      <c r="B24" s="2">
        <v>22</v>
      </c>
      <c r="C24" s="2" t="s">
        <v>176</v>
      </c>
      <c r="D24" s="38"/>
      <c r="E24" s="135">
        <v>10</v>
      </c>
      <c r="F24" s="135">
        <v>2</v>
      </c>
      <c r="G24" s="37">
        <v>7</v>
      </c>
      <c r="H24" s="31">
        <v>10</v>
      </c>
      <c r="I24" s="41">
        <v>6</v>
      </c>
      <c r="J24" s="268">
        <f t="shared" si="0"/>
        <v>7</v>
      </c>
      <c r="K24" s="183">
        <f>ROUND(J24,0)</f>
        <v>7</v>
      </c>
      <c r="L24" s="49">
        <v>9</v>
      </c>
      <c r="M24" s="94">
        <v>2</v>
      </c>
      <c r="N24" s="36"/>
      <c r="O24" s="31">
        <v>8</v>
      </c>
      <c r="P24" s="41">
        <v>4</v>
      </c>
      <c r="Q24" s="335">
        <f t="shared" si="2"/>
        <v>5.75</v>
      </c>
      <c r="R24" s="183">
        <f t="shared" si="3"/>
        <v>6</v>
      </c>
      <c r="S24" s="183">
        <f t="shared" si="5"/>
        <v>6.5</v>
      </c>
    </row>
    <row r="25" spans="1:19" ht="12.75">
      <c r="A25" s="3">
        <f t="shared" si="4"/>
        <v>2.5</v>
      </c>
      <c r="B25" s="2">
        <v>23</v>
      </c>
      <c r="C25" s="14" t="s">
        <v>177</v>
      </c>
      <c r="D25" s="38"/>
      <c r="E25" s="135">
        <v>1</v>
      </c>
      <c r="F25" s="149" t="s">
        <v>74</v>
      </c>
      <c r="G25" s="269">
        <v>3</v>
      </c>
      <c r="H25" s="253" t="s">
        <v>74</v>
      </c>
      <c r="I25" s="41">
        <v>4</v>
      </c>
      <c r="J25" s="268">
        <f t="shared" si="0"/>
        <v>2.6666666666666665</v>
      </c>
      <c r="K25" s="183">
        <f>ROUND(J25,0)</f>
        <v>3</v>
      </c>
      <c r="L25" s="299">
        <v>1</v>
      </c>
      <c r="M25" s="94">
        <v>1</v>
      </c>
      <c r="N25" s="36"/>
      <c r="O25" s="31">
        <v>6</v>
      </c>
      <c r="P25" s="146">
        <v>2</v>
      </c>
      <c r="Q25" s="335">
        <f t="shared" si="2"/>
        <v>2.5</v>
      </c>
      <c r="R25" s="183">
        <f t="shared" si="3"/>
        <v>3</v>
      </c>
      <c r="S25" s="183">
        <f t="shared" si="5"/>
        <v>3</v>
      </c>
    </row>
    <row r="26" spans="1:19" ht="12.75">
      <c r="A26" s="3">
        <f t="shared" si="4"/>
        <v>6.75</v>
      </c>
      <c r="B26" s="2">
        <v>24</v>
      </c>
      <c r="C26" s="14" t="s">
        <v>178</v>
      </c>
      <c r="D26" s="38"/>
      <c r="E26" s="135">
        <v>7</v>
      </c>
      <c r="F26" s="5">
        <v>5</v>
      </c>
      <c r="G26" s="37">
        <v>5</v>
      </c>
      <c r="H26" s="85">
        <v>10</v>
      </c>
      <c r="I26" s="41">
        <v>4</v>
      </c>
      <c r="J26" s="268">
        <f t="shared" si="0"/>
        <v>6.2</v>
      </c>
      <c r="K26" s="183">
        <v>7</v>
      </c>
      <c r="L26" s="49">
        <v>9</v>
      </c>
      <c r="M26" s="45">
        <v>7</v>
      </c>
      <c r="N26" s="36"/>
      <c r="O26" s="31">
        <v>6</v>
      </c>
      <c r="P26" s="41">
        <v>5</v>
      </c>
      <c r="Q26" s="335">
        <f t="shared" si="2"/>
        <v>6.75</v>
      </c>
      <c r="R26" s="183">
        <f t="shared" si="3"/>
        <v>7</v>
      </c>
      <c r="S26" s="183">
        <f t="shared" si="5"/>
        <v>7</v>
      </c>
    </row>
    <row r="27" spans="2:19" s="99" customFormat="1" ht="13.5" thickBot="1">
      <c r="B27" s="100"/>
      <c r="C27" s="180" t="s">
        <v>0</v>
      </c>
      <c r="D27" s="162">
        <f>AVERAGE(D3:D26)</f>
        <v>9</v>
      </c>
      <c r="E27" s="108">
        <f>AVERAGE(E3:E26)</f>
        <v>7.304347826086956</v>
      </c>
      <c r="F27" s="108">
        <f>AVERAGE(F3:F26)</f>
        <v>3.9523809523809526</v>
      </c>
      <c r="G27" s="163">
        <f>AVERAGE(G3:G26)</f>
        <v>5.083333333333333</v>
      </c>
      <c r="H27" s="103">
        <f aca="true" t="shared" si="6" ref="H27:S27">AVERAGE(H3:H26)</f>
        <v>8.526315789473685</v>
      </c>
      <c r="I27" s="104">
        <f t="shared" si="6"/>
        <v>6.090909090909091</v>
      </c>
      <c r="J27" s="294">
        <f>AVERAGE(J3:J26)</f>
        <v>6.079861111111111</v>
      </c>
      <c r="K27" s="294">
        <f>AVERAGE(K3:K26)</f>
        <v>6.375</v>
      </c>
      <c r="L27" s="102">
        <f t="shared" si="6"/>
        <v>8.045454545454545</v>
      </c>
      <c r="M27" s="213">
        <f t="shared" si="6"/>
        <v>4.304347826086956</v>
      </c>
      <c r="N27" s="127">
        <f t="shared" si="6"/>
        <v>10</v>
      </c>
      <c r="O27" s="103">
        <f t="shared" si="6"/>
        <v>6.458333333333333</v>
      </c>
      <c r="P27" s="104">
        <f t="shared" si="6"/>
        <v>4.458333333333333</v>
      </c>
      <c r="Q27" s="294">
        <f t="shared" si="6"/>
        <v>5.711111111111111</v>
      </c>
      <c r="R27" s="294">
        <f t="shared" si="6"/>
        <v>6</v>
      </c>
      <c r="S27" s="294">
        <f t="shared" si="6"/>
        <v>6.1875</v>
      </c>
    </row>
    <row r="28" spans="2:19" s="99" customFormat="1" ht="13.5" thickBot="1">
      <c r="B28" s="100"/>
      <c r="C28" s="109"/>
      <c r="D28" s="152" t="s">
        <v>197</v>
      </c>
      <c r="E28" s="164" t="s">
        <v>82</v>
      </c>
      <c r="F28" s="164" t="s">
        <v>71</v>
      </c>
      <c r="G28" s="153" t="s">
        <v>215</v>
      </c>
      <c r="H28" s="112" t="s">
        <v>297</v>
      </c>
      <c r="I28" s="111" t="s">
        <v>273</v>
      </c>
      <c r="J28" s="266"/>
      <c r="K28" s="265"/>
      <c r="L28" s="112" t="s">
        <v>363</v>
      </c>
      <c r="M28" s="112" t="s">
        <v>289</v>
      </c>
      <c r="N28" s="110" t="s">
        <v>197</v>
      </c>
      <c r="O28" s="110" t="s">
        <v>301</v>
      </c>
      <c r="P28" s="160" t="s">
        <v>369</v>
      </c>
      <c r="Q28" s="116"/>
      <c r="R28" s="117"/>
      <c r="S28" s="257"/>
    </row>
    <row r="29" spans="2:19" s="118" customFormat="1" ht="13.5" thickBot="1">
      <c r="B29" s="100"/>
      <c r="C29" s="119" t="s">
        <v>32</v>
      </c>
      <c r="D29" s="444" t="s">
        <v>221</v>
      </c>
      <c r="E29" s="445"/>
      <c r="F29" s="445"/>
      <c r="G29" s="446"/>
      <c r="H29" s="440" t="s">
        <v>298</v>
      </c>
      <c r="I29" s="441"/>
      <c r="J29" s="120">
        <f>K29/$B$26</f>
        <v>1</v>
      </c>
      <c r="K29" s="121">
        <f>COUNTIF(K3:K26,"&gt;2")</f>
        <v>24</v>
      </c>
      <c r="L29" s="447" t="s">
        <v>362</v>
      </c>
      <c r="M29" s="441"/>
      <c r="N29" s="442" t="s">
        <v>307</v>
      </c>
      <c r="O29" s="440"/>
      <c r="P29" s="441"/>
      <c r="Q29" s="120">
        <f>R29/$B$26</f>
        <v>0.9583333333333334</v>
      </c>
      <c r="R29" s="121">
        <f>COUNTIF(R3:R26,"&gt;2")</f>
        <v>23</v>
      </c>
      <c r="S29" s="257"/>
    </row>
    <row r="30" spans="2:19" s="118" customFormat="1" ht="12.75">
      <c r="B30" s="100"/>
      <c r="C30" s="119" t="s">
        <v>33</v>
      </c>
      <c r="D30" s="122"/>
      <c r="E30" s="122"/>
      <c r="F30" s="122"/>
      <c r="G30" s="122"/>
      <c r="H30" s="122"/>
      <c r="I30" s="122"/>
      <c r="J30" s="120">
        <f>K30/$B$26</f>
        <v>0.75</v>
      </c>
      <c r="K30" s="121">
        <f>COUNTIF(K3:K26,"&gt;5")</f>
        <v>18</v>
      </c>
      <c r="L30" s="122"/>
      <c r="M30" s="122"/>
      <c r="N30" s="122"/>
      <c r="O30" s="122"/>
      <c r="P30" s="122"/>
      <c r="Q30" s="120">
        <f>R30/$B$26</f>
        <v>0.5</v>
      </c>
      <c r="R30" s="121">
        <f>COUNTIF(R3:R26,"&gt;6")</f>
        <v>12</v>
      </c>
      <c r="S30" s="257"/>
    </row>
    <row r="32" ht="12.75">
      <c r="C32" t="s">
        <v>276</v>
      </c>
    </row>
  </sheetData>
  <sheetProtection/>
  <mergeCells count="4">
    <mergeCell ref="D29:G29"/>
    <mergeCell ref="H29:I29"/>
    <mergeCell ref="L29:M29"/>
    <mergeCell ref="N29:P29"/>
  </mergeCells>
  <conditionalFormatting sqref="J3:K26 Q3:S26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J27:K27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Q27:S27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1">
      <pane xSplit="3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24" sqref="C24"/>
    </sheetView>
  </sheetViews>
  <sheetFormatPr defaultColWidth="9.00390625" defaultRowHeight="12.75"/>
  <cols>
    <col min="1" max="1" width="13.125" style="0" hidden="1" customWidth="1"/>
    <col min="2" max="2" width="3.00390625" style="0" bestFit="1" customWidth="1"/>
    <col min="3" max="3" width="23.25390625" style="0" customWidth="1"/>
    <col min="4" max="12" width="5.75390625" style="0" customWidth="1"/>
    <col min="13" max="13" width="9.875" style="3" customWidth="1"/>
    <col min="14" max="14" width="9.125" style="125" customWidth="1"/>
    <col min="15" max="21" width="5.75390625" style="0" customWidth="1"/>
    <col min="22" max="22" width="9.875" style="3" customWidth="1"/>
    <col min="23" max="24" width="9.125" style="125" customWidth="1"/>
  </cols>
  <sheetData>
    <row r="1" spans="4:45" ht="16.5" thickBot="1">
      <c r="D1" s="443" t="s">
        <v>179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65"/>
      <c r="R1" s="65"/>
      <c r="S1" s="65"/>
      <c r="T1" s="65"/>
      <c r="U1" s="65"/>
      <c r="V1" s="24"/>
      <c r="W1" s="123"/>
      <c r="X1" s="12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5"/>
      <c r="AO1" s="26"/>
      <c r="AR1" s="6"/>
      <c r="AS1" s="7"/>
    </row>
    <row r="2" spans="2:41" ht="16.5" customHeight="1" thickBot="1">
      <c r="B2" s="27" t="s">
        <v>47</v>
      </c>
      <c r="C2" s="29" t="s">
        <v>23</v>
      </c>
      <c r="D2" s="33">
        <v>44106</v>
      </c>
      <c r="E2" s="62">
        <v>44113</v>
      </c>
      <c r="F2" s="34">
        <v>44117</v>
      </c>
      <c r="G2" s="33"/>
      <c r="H2" s="224">
        <v>44165</v>
      </c>
      <c r="I2" s="34">
        <v>44166</v>
      </c>
      <c r="J2" s="33"/>
      <c r="K2" s="62">
        <v>44175</v>
      </c>
      <c r="L2" s="34">
        <v>44176</v>
      </c>
      <c r="M2" s="134" t="s">
        <v>21</v>
      </c>
      <c r="N2" s="124" t="s">
        <v>81</v>
      </c>
      <c r="O2" s="51">
        <v>44215</v>
      </c>
      <c r="P2" s="224">
        <v>44222</v>
      </c>
      <c r="Q2" s="54">
        <v>44236</v>
      </c>
      <c r="R2" s="54">
        <v>44242</v>
      </c>
      <c r="S2" s="73"/>
      <c r="T2" s="140">
        <v>44305</v>
      </c>
      <c r="U2" s="64">
        <v>44309</v>
      </c>
      <c r="V2" s="262" t="s">
        <v>21</v>
      </c>
      <c r="W2" s="124" t="s">
        <v>305</v>
      </c>
      <c r="X2" s="349" t="s">
        <v>314</v>
      </c>
      <c r="AH2" s="13"/>
      <c r="AI2" s="13"/>
      <c r="AJ2" s="13"/>
      <c r="AK2" s="13"/>
      <c r="AL2" s="13"/>
      <c r="AM2" s="13"/>
      <c r="AN2" s="13"/>
      <c r="AO2" s="13"/>
    </row>
    <row r="3" spans="1:27" ht="12.75">
      <c r="A3" s="3">
        <f>V3</f>
        <v>2.6</v>
      </c>
      <c r="B3" s="2">
        <v>1</v>
      </c>
      <c r="C3" s="2" t="s">
        <v>155</v>
      </c>
      <c r="D3" s="39">
        <v>6</v>
      </c>
      <c r="E3" s="150" t="s">
        <v>74</v>
      </c>
      <c r="F3" s="35">
        <v>3</v>
      </c>
      <c r="G3" s="56"/>
      <c r="H3" s="228" t="s">
        <v>74</v>
      </c>
      <c r="I3" s="223">
        <v>4</v>
      </c>
      <c r="J3" s="233"/>
      <c r="K3" s="71">
        <v>5</v>
      </c>
      <c r="L3" s="248" t="s">
        <v>74</v>
      </c>
      <c r="M3" s="268">
        <f>AVERAGE(D3:L3)</f>
        <v>4.5</v>
      </c>
      <c r="N3" s="183">
        <f>ROUND(M3,0)</f>
        <v>5</v>
      </c>
      <c r="O3" s="341">
        <v>2</v>
      </c>
      <c r="P3" s="342">
        <v>1</v>
      </c>
      <c r="Q3" s="343">
        <v>1</v>
      </c>
      <c r="R3" s="336" t="s">
        <v>74</v>
      </c>
      <c r="S3" s="333"/>
      <c r="T3" s="71">
        <v>4</v>
      </c>
      <c r="U3" s="147">
        <v>5</v>
      </c>
      <c r="V3" s="335">
        <f>AVERAGE(O3:U3)</f>
        <v>2.6</v>
      </c>
      <c r="W3" s="325">
        <f aca="true" t="shared" si="0" ref="W3:W25">ROUND(V3,0)</f>
        <v>3</v>
      </c>
      <c r="X3" s="182">
        <f>AVERAGE(N3,W3)</f>
        <v>4</v>
      </c>
      <c r="Y3" s="345" t="s">
        <v>27</v>
      </c>
      <c r="Z3" s="1">
        <f>COUNTIF(W3:W26,"&gt;8")</f>
        <v>0</v>
      </c>
      <c r="AA3" s="17">
        <f>Z3/$B$26</f>
        <v>0</v>
      </c>
    </row>
    <row r="4" spans="1:27" ht="12.75">
      <c r="A4" s="3">
        <f aca="true" t="shared" si="1" ref="A4:A26">V4</f>
        <v>6.5</v>
      </c>
      <c r="B4" s="2">
        <v>2</v>
      </c>
      <c r="C4" s="2" t="s">
        <v>156</v>
      </c>
      <c r="D4" s="38">
        <v>9</v>
      </c>
      <c r="E4" s="135">
        <v>6</v>
      </c>
      <c r="F4" s="37">
        <v>9</v>
      </c>
      <c r="G4" s="38">
        <v>9</v>
      </c>
      <c r="H4" s="225">
        <v>9</v>
      </c>
      <c r="I4" s="82">
        <v>9</v>
      </c>
      <c r="J4" s="83"/>
      <c r="K4" s="135">
        <v>9</v>
      </c>
      <c r="L4" s="41">
        <v>6</v>
      </c>
      <c r="M4" s="268">
        <f aca="true" t="shared" si="2" ref="M4:M26">AVERAGE(D4:L4)</f>
        <v>8.25</v>
      </c>
      <c r="N4" s="183">
        <v>9</v>
      </c>
      <c r="O4" s="52">
        <v>4</v>
      </c>
      <c r="P4" s="43">
        <v>6</v>
      </c>
      <c r="Q4" s="53">
        <v>9</v>
      </c>
      <c r="R4" s="53">
        <v>6</v>
      </c>
      <c r="S4" s="36"/>
      <c r="T4" s="31">
        <v>6</v>
      </c>
      <c r="U4" s="41">
        <v>8</v>
      </c>
      <c r="V4" s="335">
        <f aca="true" t="shared" si="3" ref="V4:V26">AVERAGE(O4:U4)</f>
        <v>6.5</v>
      </c>
      <c r="W4" s="325">
        <f t="shared" si="0"/>
        <v>7</v>
      </c>
      <c r="X4" s="183">
        <f aca="true" t="shared" si="4" ref="X4:X26">AVERAGE(N4,W4)</f>
        <v>8</v>
      </c>
      <c r="Y4" s="345" t="s">
        <v>28</v>
      </c>
      <c r="Z4" s="18">
        <f>COUNTIF(W3:W26,7)+COUNTIF(W3:W26,8)+COUNTIF(W3:W26,6)</f>
        <v>17</v>
      </c>
      <c r="AA4" s="17">
        <f>Z4/$B$26</f>
        <v>0.7083333333333334</v>
      </c>
    </row>
    <row r="5" spans="1:27" ht="12.75">
      <c r="A5" s="3">
        <f t="shared" si="1"/>
        <v>4.6</v>
      </c>
      <c r="B5" s="2">
        <v>3</v>
      </c>
      <c r="C5" s="2" t="s">
        <v>157</v>
      </c>
      <c r="D5" s="271">
        <v>3</v>
      </c>
      <c r="E5" s="270">
        <v>3</v>
      </c>
      <c r="F5" s="145" t="s">
        <v>74</v>
      </c>
      <c r="G5" s="38"/>
      <c r="H5" s="232">
        <v>1</v>
      </c>
      <c r="I5" s="82">
        <v>9</v>
      </c>
      <c r="J5" s="83"/>
      <c r="K5" s="235" t="s">
        <v>74</v>
      </c>
      <c r="L5" s="247" t="s">
        <v>74</v>
      </c>
      <c r="M5" s="268">
        <f t="shared" si="2"/>
        <v>4</v>
      </c>
      <c r="N5" s="183">
        <f aca="true" t="shared" si="5" ref="N5:N12">ROUND(M5,0)</f>
        <v>4</v>
      </c>
      <c r="O5" s="52">
        <v>7</v>
      </c>
      <c r="P5" s="330" t="s">
        <v>74</v>
      </c>
      <c r="Q5" s="338">
        <v>1</v>
      </c>
      <c r="R5" s="53">
        <v>3</v>
      </c>
      <c r="S5" s="36"/>
      <c r="T5" s="31">
        <v>7</v>
      </c>
      <c r="U5" s="146">
        <v>5</v>
      </c>
      <c r="V5" s="335">
        <f t="shared" si="3"/>
        <v>4.6</v>
      </c>
      <c r="W5" s="325">
        <f t="shared" si="0"/>
        <v>5</v>
      </c>
      <c r="X5" s="183">
        <f t="shared" si="4"/>
        <v>4.5</v>
      </c>
      <c r="Y5" s="345" t="s">
        <v>29</v>
      </c>
      <c r="Z5" s="18">
        <f>COUNTIF(W3:W26,3)+COUNTIF(W3:W26,4)+COUNTIF(W3:W26,5)</f>
        <v>7</v>
      </c>
      <c r="AA5" s="17">
        <f>Z5/$B$26</f>
        <v>0.2916666666666667</v>
      </c>
    </row>
    <row r="6" spans="1:27" ht="12.75">
      <c r="A6" s="3">
        <f t="shared" si="1"/>
        <v>3</v>
      </c>
      <c r="B6" s="2">
        <v>4</v>
      </c>
      <c r="C6" s="2" t="s">
        <v>158</v>
      </c>
      <c r="D6" s="38">
        <v>5</v>
      </c>
      <c r="E6" s="135">
        <v>4</v>
      </c>
      <c r="F6" s="145" t="s">
        <v>74</v>
      </c>
      <c r="G6" s="38"/>
      <c r="H6" s="232">
        <v>1</v>
      </c>
      <c r="I6" s="41">
        <v>8</v>
      </c>
      <c r="J6" s="36"/>
      <c r="K6" s="235" t="s">
        <v>74</v>
      </c>
      <c r="L6" s="247" t="s">
        <v>74</v>
      </c>
      <c r="M6" s="268">
        <f t="shared" si="2"/>
        <v>4.5</v>
      </c>
      <c r="N6" s="183">
        <f t="shared" si="5"/>
        <v>5</v>
      </c>
      <c r="O6" s="324" t="s">
        <v>74</v>
      </c>
      <c r="P6" s="43">
        <v>5</v>
      </c>
      <c r="Q6" s="338">
        <v>1</v>
      </c>
      <c r="R6" s="53">
        <v>5</v>
      </c>
      <c r="S6" s="36"/>
      <c r="T6" s="252" t="s">
        <v>74</v>
      </c>
      <c r="U6" s="269">
        <v>1</v>
      </c>
      <c r="V6" s="335">
        <f t="shared" si="3"/>
        <v>3</v>
      </c>
      <c r="W6" s="325">
        <f t="shared" si="0"/>
        <v>3</v>
      </c>
      <c r="X6" s="183">
        <f t="shared" si="4"/>
        <v>4</v>
      </c>
      <c r="Y6" s="345" t="s">
        <v>30</v>
      </c>
      <c r="Z6" s="1">
        <f>COUNTIF(W3:W26,"&lt;3")</f>
        <v>0</v>
      </c>
      <c r="AA6" s="17">
        <f>Z6/$B$26</f>
        <v>0</v>
      </c>
    </row>
    <row r="7" spans="1:27" ht="12.75">
      <c r="A7" s="3">
        <f t="shared" si="1"/>
        <v>6.2</v>
      </c>
      <c r="B7" s="2">
        <v>5</v>
      </c>
      <c r="C7" s="2" t="s">
        <v>159</v>
      </c>
      <c r="D7" s="148" t="s">
        <v>74</v>
      </c>
      <c r="E7" s="135">
        <v>4</v>
      </c>
      <c r="F7" s="37">
        <v>5</v>
      </c>
      <c r="G7" s="38"/>
      <c r="H7" s="232">
        <v>8</v>
      </c>
      <c r="I7" s="41">
        <v>9</v>
      </c>
      <c r="J7" s="36"/>
      <c r="K7" s="31">
        <v>6</v>
      </c>
      <c r="L7" s="41">
        <v>7</v>
      </c>
      <c r="M7" s="268">
        <f t="shared" si="2"/>
        <v>6.5</v>
      </c>
      <c r="N7" s="183">
        <f t="shared" si="5"/>
        <v>7</v>
      </c>
      <c r="O7" s="52">
        <v>7</v>
      </c>
      <c r="P7" s="43">
        <v>6</v>
      </c>
      <c r="Q7" s="337" t="s">
        <v>74</v>
      </c>
      <c r="R7" s="53">
        <v>6</v>
      </c>
      <c r="S7" s="36"/>
      <c r="T7" s="31">
        <v>5</v>
      </c>
      <c r="U7" s="41">
        <v>7</v>
      </c>
      <c r="V7" s="335">
        <f t="shared" si="3"/>
        <v>6.2</v>
      </c>
      <c r="W7" s="325">
        <f t="shared" si="0"/>
        <v>6</v>
      </c>
      <c r="X7" s="183">
        <f t="shared" si="4"/>
        <v>6.5</v>
      </c>
      <c r="Y7" s="346" t="s">
        <v>31</v>
      </c>
      <c r="Z7" s="1">
        <f>B26-SUM(Z3:Z6)</f>
        <v>0</v>
      </c>
      <c r="AA7" s="17">
        <f>Z7/$B$26</f>
        <v>0</v>
      </c>
    </row>
    <row r="8" spans="1:24" ht="12.75">
      <c r="A8" s="3">
        <f t="shared" si="1"/>
        <v>7.333333333333333</v>
      </c>
      <c r="B8" s="2">
        <v>6</v>
      </c>
      <c r="C8" s="2" t="s">
        <v>160</v>
      </c>
      <c r="D8" s="38">
        <v>6</v>
      </c>
      <c r="E8" s="149" t="s">
        <v>74</v>
      </c>
      <c r="F8" s="146">
        <v>2</v>
      </c>
      <c r="G8" s="38"/>
      <c r="H8" s="229" t="s">
        <v>74</v>
      </c>
      <c r="I8" s="203">
        <v>4</v>
      </c>
      <c r="J8" s="83"/>
      <c r="K8" s="31">
        <v>6</v>
      </c>
      <c r="L8" s="41">
        <v>7</v>
      </c>
      <c r="M8" s="268">
        <f t="shared" si="2"/>
        <v>5</v>
      </c>
      <c r="N8" s="183">
        <f t="shared" si="5"/>
        <v>5</v>
      </c>
      <c r="O8" s="52">
        <v>7</v>
      </c>
      <c r="P8" s="43">
        <v>8</v>
      </c>
      <c r="Q8" s="53">
        <v>9</v>
      </c>
      <c r="R8" s="53">
        <v>6</v>
      </c>
      <c r="S8" s="36"/>
      <c r="T8" s="31">
        <v>6</v>
      </c>
      <c r="U8" s="41">
        <v>8</v>
      </c>
      <c r="V8" s="335">
        <f t="shared" si="3"/>
        <v>7.333333333333333</v>
      </c>
      <c r="W8" s="325">
        <v>8</v>
      </c>
      <c r="X8" s="183">
        <f t="shared" si="4"/>
        <v>6.5</v>
      </c>
    </row>
    <row r="9" spans="1:24" ht="12.75">
      <c r="A9" s="3">
        <f t="shared" si="1"/>
        <v>5.5</v>
      </c>
      <c r="B9" s="2">
        <v>7</v>
      </c>
      <c r="C9" s="2" t="s">
        <v>222</v>
      </c>
      <c r="D9" s="38">
        <v>9</v>
      </c>
      <c r="E9" s="135">
        <v>3</v>
      </c>
      <c r="F9" s="37">
        <v>5</v>
      </c>
      <c r="G9" s="38">
        <v>9</v>
      </c>
      <c r="H9" s="225">
        <v>10</v>
      </c>
      <c r="I9" s="82">
        <v>8</v>
      </c>
      <c r="J9" s="83"/>
      <c r="K9" s="31">
        <v>7</v>
      </c>
      <c r="L9" s="41">
        <v>5</v>
      </c>
      <c r="M9" s="268">
        <f t="shared" si="2"/>
        <v>7</v>
      </c>
      <c r="N9" s="183">
        <f t="shared" si="5"/>
        <v>7</v>
      </c>
      <c r="O9" s="52">
        <v>4</v>
      </c>
      <c r="P9" s="43">
        <v>6</v>
      </c>
      <c r="Q9" s="53">
        <v>9</v>
      </c>
      <c r="R9" s="53">
        <v>5</v>
      </c>
      <c r="S9" s="36"/>
      <c r="T9" s="31">
        <v>4</v>
      </c>
      <c r="U9" s="41">
        <v>5</v>
      </c>
      <c r="V9" s="335">
        <f t="shared" si="3"/>
        <v>5.5</v>
      </c>
      <c r="W9" s="325">
        <f t="shared" si="0"/>
        <v>6</v>
      </c>
      <c r="X9" s="183">
        <f t="shared" si="4"/>
        <v>6.5</v>
      </c>
    </row>
    <row r="10" spans="1:24" ht="12.75">
      <c r="A10" s="3">
        <f t="shared" si="1"/>
        <v>6.166666666666667</v>
      </c>
      <c r="B10" s="2">
        <v>8</v>
      </c>
      <c r="C10" s="2" t="s">
        <v>161</v>
      </c>
      <c r="D10" s="38">
        <v>10</v>
      </c>
      <c r="E10" s="135">
        <v>4</v>
      </c>
      <c r="F10" s="146">
        <v>4</v>
      </c>
      <c r="G10" s="38"/>
      <c r="H10" s="225">
        <v>9</v>
      </c>
      <c r="I10" s="41">
        <v>9</v>
      </c>
      <c r="J10" s="36"/>
      <c r="K10" s="235" t="s">
        <v>74</v>
      </c>
      <c r="L10" s="247" t="s">
        <v>74</v>
      </c>
      <c r="M10" s="268">
        <f t="shared" si="2"/>
        <v>7.2</v>
      </c>
      <c r="N10" s="183">
        <f t="shared" si="5"/>
        <v>7</v>
      </c>
      <c r="O10" s="52">
        <v>6</v>
      </c>
      <c r="P10" s="43">
        <v>6</v>
      </c>
      <c r="Q10" s="53">
        <v>9</v>
      </c>
      <c r="R10" s="53">
        <v>4</v>
      </c>
      <c r="S10" s="36"/>
      <c r="T10" s="31">
        <v>6</v>
      </c>
      <c r="U10" s="41">
        <v>6</v>
      </c>
      <c r="V10" s="335">
        <f t="shared" si="3"/>
        <v>6.166666666666667</v>
      </c>
      <c r="W10" s="325">
        <f t="shared" si="0"/>
        <v>6</v>
      </c>
      <c r="X10" s="183">
        <f t="shared" si="4"/>
        <v>6.5</v>
      </c>
    </row>
    <row r="11" spans="1:24" ht="12.75">
      <c r="A11" s="3">
        <f t="shared" si="1"/>
        <v>6.333333333333333</v>
      </c>
      <c r="B11" s="2">
        <v>9</v>
      </c>
      <c r="C11" s="2" t="s">
        <v>162</v>
      </c>
      <c r="D11" s="38">
        <v>6</v>
      </c>
      <c r="E11" s="149" t="s">
        <v>74</v>
      </c>
      <c r="F11" s="37">
        <v>6</v>
      </c>
      <c r="G11" s="38"/>
      <c r="H11" s="232">
        <v>1</v>
      </c>
      <c r="I11" s="222" t="s">
        <v>74</v>
      </c>
      <c r="J11" s="36"/>
      <c r="K11" s="31">
        <v>6</v>
      </c>
      <c r="L11" s="41">
        <v>6</v>
      </c>
      <c r="M11" s="268">
        <f t="shared" si="2"/>
        <v>5</v>
      </c>
      <c r="N11" s="183">
        <f t="shared" si="5"/>
        <v>5</v>
      </c>
      <c r="O11" s="52">
        <v>7</v>
      </c>
      <c r="P11" s="43">
        <v>7</v>
      </c>
      <c r="Q11" s="53">
        <v>9</v>
      </c>
      <c r="R11" s="53">
        <v>7</v>
      </c>
      <c r="S11" s="36"/>
      <c r="T11" s="135">
        <v>1</v>
      </c>
      <c r="U11" s="41">
        <v>7</v>
      </c>
      <c r="V11" s="335">
        <f t="shared" si="3"/>
        <v>6.333333333333333</v>
      </c>
      <c r="W11" s="325">
        <f t="shared" si="0"/>
        <v>6</v>
      </c>
      <c r="X11" s="183">
        <f t="shared" si="4"/>
        <v>5.5</v>
      </c>
    </row>
    <row r="12" spans="1:24" ht="12.75">
      <c r="A12" s="3">
        <f t="shared" si="1"/>
        <v>6.666666666666667</v>
      </c>
      <c r="B12" s="2">
        <v>10</v>
      </c>
      <c r="C12" s="2" t="s">
        <v>163</v>
      </c>
      <c r="D12" s="38">
        <v>7</v>
      </c>
      <c r="E12" s="135">
        <v>4</v>
      </c>
      <c r="F12" s="37">
        <v>4</v>
      </c>
      <c r="G12" s="38">
        <v>9</v>
      </c>
      <c r="H12" s="229" t="s">
        <v>74</v>
      </c>
      <c r="I12" s="203">
        <v>7</v>
      </c>
      <c r="J12" s="83">
        <v>9</v>
      </c>
      <c r="K12" s="31">
        <v>10</v>
      </c>
      <c r="L12" s="41">
        <v>5</v>
      </c>
      <c r="M12" s="268">
        <f t="shared" si="2"/>
        <v>6.875</v>
      </c>
      <c r="N12" s="183">
        <f t="shared" si="5"/>
        <v>7</v>
      </c>
      <c r="O12" s="52">
        <v>6</v>
      </c>
      <c r="P12" s="43">
        <v>6</v>
      </c>
      <c r="Q12" s="53">
        <v>9</v>
      </c>
      <c r="R12" s="53">
        <v>7</v>
      </c>
      <c r="S12" s="36"/>
      <c r="T12" s="31">
        <v>5</v>
      </c>
      <c r="U12" s="41">
        <v>7</v>
      </c>
      <c r="V12" s="335">
        <f t="shared" si="3"/>
        <v>6.666666666666667</v>
      </c>
      <c r="W12" s="325">
        <f t="shared" si="0"/>
        <v>7</v>
      </c>
      <c r="X12" s="183">
        <f t="shared" si="4"/>
        <v>7</v>
      </c>
    </row>
    <row r="13" spans="1:24" ht="12.75">
      <c r="A13" s="3">
        <f t="shared" si="1"/>
        <v>6.5</v>
      </c>
      <c r="B13" s="2">
        <v>11</v>
      </c>
      <c r="C13" s="2" t="s">
        <v>164</v>
      </c>
      <c r="D13" s="38">
        <v>6</v>
      </c>
      <c r="E13" s="135">
        <v>4</v>
      </c>
      <c r="F13" s="37">
        <v>6</v>
      </c>
      <c r="G13" s="38"/>
      <c r="H13" s="232">
        <v>8</v>
      </c>
      <c r="I13" s="41">
        <v>8</v>
      </c>
      <c r="J13" s="36"/>
      <c r="K13" s="31">
        <v>8</v>
      </c>
      <c r="L13" s="41">
        <v>4</v>
      </c>
      <c r="M13" s="268">
        <f t="shared" si="2"/>
        <v>6.285714285714286</v>
      </c>
      <c r="N13" s="183">
        <v>7</v>
      </c>
      <c r="O13" s="52">
        <v>6</v>
      </c>
      <c r="P13" s="43">
        <v>6</v>
      </c>
      <c r="Q13" s="338">
        <v>7</v>
      </c>
      <c r="R13" s="53">
        <v>7</v>
      </c>
      <c r="S13" s="36"/>
      <c r="T13" s="31">
        <v>6</v>
      </c>
      <c r="U13" s="41">
        <v>7</v>
      </c>
      <c r="V13" s="335">
        <f t="shared" si="3"/>
        <v>6.5</v>
      </c>
      <c r="W13" s="325">
        <f t="shared" si="0"/>
        <v>7</v>
      </c>
      <c r="X13" s="183">
        <f t="shared" si="4"/>
        <v>7</v>
      </c>
    </row>
    <row r="14" spans="1:24" ht="12.75">
      <c r="A14" s="3">
        <f t="shared" si="1"/>
        <v>4</v>
      </c>
      <c r="B14" s="2">
        <v>12</v>
      </c>
      <c r="C14" s="2" t="s">
        <v>165</v>
      </c>
      <c r="D14" s="271">
        <v>3</v>
      </c>
      <c r="E14" s="270">
        <v>3</v>
      </c>
      <c r="F14" s="145" t="s">
        <v>74</v>
      </c>
      <c r="G14" s="38"/>
      <c r="H14" s="232">
        <v>1</v>
      </c>
      <c r="I14" s="82">
        <v>3</v>
      </c>
      <c r="J14" s="83"/>
      <c r="K14" s="235" t="s">
        <v>74</v>
      </c>
      <c r="L14" s="247" t="s">
        <v>74</v>
      </c>
      <c r="M14" s="268">
        <f t="shared" si="2"/>
        <v>2.5</v>
      </c>
      <c r="N14" s="183">
        <f>ROUND(M14,0)</f>
        <v>3</v>
      </c>
      <c r="O14" s="52">
        <v>7</v>
      </c>
      <c r="P14" s="330" t="s">
        <v>74</v>
      </c>
      <c r="Q14" s="354">
        <v>1</v>
      </c>
      <c r="R14" s="53">
        <v>7</v>
      </c>
      <c r="S14" s="36"/>
      <c r="T14" s="252" t="s">
        <v>74</v>
      </c>
      <c r="U14" s="146">
        <v>1</v>
      </c>
      <c r="V14" s="335">
        <f t="shared" si="3"/>
        <v>4</v>
      </c>
      <c r="W14" s="325">
        <f t="shared" si="0"/>
        <v>4</v>
      </c>
      <c r="X14" s="183">
        <f t="shared" si="4"/>
        <v>3.5</v>
      </c>
    </row>
    <row r="15" spans="1:24" ht="12.75">
      <c r="A15" s="3">
        <f t="shared" si="1"/>
        <v>5.25</v>
      </c>
      <c r="B15" s="2">
        <v>13</v>
      </c>
      <c r="C15" s="2" t="s">
        <v>166</v>
      </c>
      <c r="D15" s="38">
        <v>6</v>
      </c>
      <c r="E15" s="135">
        <v>5</v>
      </c>
      <c r="F15" s="146">
        <v>2</v>
      </c>
      <c r="G15" s="38"/>
      <c r="H15" s="232">
        <v>9</v>
      </c>
      <c r="I15" s="203">
        <v>7</v>
      </c>
      <c r="J15" s="83"/>
      <c r="K15" s="135">
        <v>10</v>
      </c>
      <c r="L15" s="41">
        <v>6</v>
      </c>
      <c r="M15" s="268">
        <f t="shared" si="2"/>
        <v>6.428571428571429</v>
      </c>
      <c r="N15" s="183">
        <v>7</v>
      </c>
      <c r="O15" s="324" t="s">
        <v>74</v>
      </c>
      <c r="P15" s="330" t="s">
        <v>74</v>
      </c>
      <c r="Q15" s="354">
        <v>1</v>
      </c>
      <c r="R15" s="53">
        <v>6</v>
      </c>
      <c r="S15" s="36"/>
      <c r="T15" s="31">
        <v>7</v>
      </c>
      <c r="U15" s="41">
        <v>7</v>
      </c>
      <c r="V15" s="335">
        <f t="shared" si="3"/>
        <v>5.25</v>
      </c>
      <c r="W15" s="325">
        <f t="shared" si="0"/>
        <v>5</v>
      </c>
      <c r="X15" s="183">
        <f t="shared" si="4"/>
        <v>6</v>
      </c>
    </row>
    <row r="16" spans="1:24" ht="12.75">
      <c r="A16" s="3">
        <f t="shared" si="1"/>
        <v>7.4</v>
      </c>
      <c r="B16" s="2">
        <v>14</v>
      </c>
      <c r="C16" s="2" t="s">
        <v>167</v>
      </c>
      <c r="D16" s="38">
        <v>8</v>
      </c>
      <c r="E16" s="135">
        <v>8</v>
      </c>
      <c r="F16" s="37">
        <v>8</v>
      </c>
      <c r="G16" s="38"/>
      <c r="H16" s="232">
        <v>10</v>
      </c>
      <c r="I16" s="41">
        <v>9</v>
      </c>
      <c r="J16" s="83"/>
      <c r="K16" s="135">
        <v>10</v>
      </c>
      <c r="L16" s="41">
        <v>7</v>
      </c>
      <c r="M16" s="268">
        <f t="shared" si="2"/>
        <v>8.571428571428571</v>
      </c>
      <c r="N16" s="183">
        <f>ROUND(M16,0)</f>
        <v>9</v>
      </c>
      <c r="O16" s="52">
        <v>8</v>
      </c>
      <c r="P16" s="330" t="s">
        <v>74</v>
      </c>
      <c r="Q16" s="53">
        <v>9</v>
      </c>
      <c r="R16" s="53">
        <v>6</v>
      </c>
      <c r="S16" s="36"/>
      <c r="T16" s="31">
        <v>7</v>
      </c>
      <c r="U16" s="41">
        <v>7</v>
      </c>
      <c r="V16" s="335">
        <f t="shared" si="3"/>
        <v>7.4</v>
      </c>
      <c r="W16" s="325">
        <f t="shared" si="0"/>
        <v>7</v>
      </c>
      <c r="X16" s="183">
        <f t="shared" si="4"/>
        <v>8</v>
      </c>
    </row>
    <row r="17" spans="1:24" ht="12.75">
      <c r="A17" s="3">
        <f t="shared" si="1"/>
        <v>7.714285714285714</v>
      </c>
      <c r="B17" s="2">
        <v>15</v>
      </c>
      <c r="C17" s="2" t="s">
        <v>168</v>
      </c>
      <c r="D17" s="38">
        <v>4</v>
      </c>
      <c r="E17" s="135">
        <v>8</v>
      </c>
      <c r="F17" s="37">
        <v>6</v>
      </c>
      <c r="G17" s="38"/>
      <c r="H17" s="225">
        <v>6</v>
      </c>
      <c r="I17" s="82">
        <v>4</v>
      </c>
      <c r="J17" s="83"/>
      <c r="K17" s="31">
        <v>8</v>
      </c>
      <c r="L17" s="41">
        <v>6</v>
      </c>
      <c r="M17" s="268">
        <f t="shared" si="2"/>
        <v>6</v>
      </c>
      <c r="N17" s="183">
        <f>ROUND(M17,0)</f>
        <v>6</v>
      </c>
      <c r="O17" s="52">
        <v>7</v>
      </c>
      <c r="P17" s="43">
        <v>6</v>
      </c>
      <c r="Q17" s="53">
        <v>7</v>
      </c>
      <c r="R17" s="338">
        <v>7</v>
      </c>
      <c r="S17" s="161">
        <v>10</v>
      </c>
      <c r="T17" s="31">
        <v>9</v>
      </c>
      <c r="U17" s="41">
        <v>8</v>
      </c>
      <c r="V17" s="335">
        <f t="shared" si="3"/>
        <v>7.714285714285714</v>
      </c>
      <c r="W17" s="325">
        <f t="shared" si="0"/>
        <v>8</v>
      </c>
      <c r="X17" s="183">
        <f t="shared" si="4"/>
        <v>7</v>
      </c>
    </row>
    <row r="18" spans="1:24" ht="12.75">
      <c r="A18" s="3">
        <f t="shared" si="1"/>
        <v>7.166666666666667</v>
      </c>
      <c r="B18" s="2">
        <v>16</v>
      </c>
      <c r="C18" s="2" t="s">
        <v>169</v>
      </c>
      <c r="D18" s="38">
        <v>7</v>
      </c>
      <c r="E18" s="135">
        <v>6</v>
      </c>
      <c r="F18" s="37">
        <v>7</v>
      </c>
      <c r="G18" s="38">
        <v>9</v>
      </c>
      <c r="H18" s="225">
        <v>9</v>
      </c>
      <c r="I18" s="82">
        <v>9</v>
      </c>
      <c r="J18" s="83">
        <v>9</v>
      </c>
      <c r="K18" s="31">
        <v>10</v>
      </c>
      <c r="L18" s="41">
        <v>6</v>
      </c>
      <c r="M18" s="268">
        <f t="shared" si="2"/>
        <v>8</v>
      </c>
      <c r="N18" s="183">
        <f>ROUND(M18,0)</f>
        <v>8</v>
      </c>
      <c r="O18" s="52">
        <v>7</v>
      </c>
      <c r="P18" s="43">
        <v>7</v>
      </c>
      <c r="Q18" s="53">
        <v>9</v>
      </c>
      <c r="R18" s="53">
        <v>7</v>
      </c>
      <c r="S18" s="36"/>
      <c r="T18" s="31">
        <v>6</v>
      </c>
      <c r="U18" s="41">
        <v>7</v>
      </c>
      <c r="V18" s="335">
        <f t="shared" si="3"/>
        <v>7.166666666666667</v>
      </c>
      <c r="W18" s="325">
        <f t="shared" si="0"/>
        <v>7</v>
      </c>
      <c r="X18" s="183">
        <f t="shared" si="4"/>
        <v>7.5</v>
      </c>
    </row>
    <row r="19" spans="1:24" ht="12.75">
      <c r="A19" s="3">
        <f t="shared" si="1"/>
        <v>7</v>
      </c>
      <c r="B19" s="2">
        <v>17</v>
      </c>
      <c r="C19" s="2" t="s">
        <v>170</v>
      </c>
      <c r="D19" s="161">
        <v>7</v>
      </c>
      <c r="E19" s="135">
        <v>8</v>
      </c>
      <c r="F19" s="37">
        <v>9</v>
      </c>
      <c r="G19" s="38">
        <v>9</v>
      </c>
      <c r="H19" s="232">
        <v>7</v>
      </c>
      <c r="I19" s="82">
        <v>9</v>
      </c>
      <c r="J19" s="83"/>
      <c r="K19" s="31">
        <v>9</v>
      </c>
      <c r="L19" s="41">
        <v>6</v>
      </c>
      <c r="M19" s="268">
        <f t="shared" si="2"/>
        <v>8</v>
      </c>
      <c r="N19" s="183">
        <f>ROUND(M19,0)</f>
        <v>8</v>
      </c>
      <c r="O19" s="52">
        <v>7</v>
      </c>
      <c r="P19" s="43">
        <v>5</v>
      </c>
      <c r="Q19" s="53">
        <v>9</v>
      </c>
      <c r="R19" s="338">
        <v>7</v>
      </c>
      <c r="S19" s="329"/>
      <c r="T19" s="31">
        <v>6</v>
      </c>
      <c r="U19" s="41">
        <v>8</v>
      </c>
      <c r="V19" s="335">
        <f t="shared" si="3"/>
        <v>7</v>
      </c>
      <c r="W19" s="325">
        <f t="shared" si="0"/>
        <v>7</v>
      </c>
      <c r="X19" s="183">
        <f t="shared" si="4"/>
        <v>7.5</v>
      </c>
    </row>
    <row r="20" spans="1:24" ht="12.75">
      <c r="A20" s="3">
        <f t="shared" si="1"/>
        <v>6</v>
      </c>
      <c r="B20" s="2">
        <v>18</v>
      </c>
      <c r="C20" s="2" t="s">
        <v>172</v>
      </c>
      <c r="D20" s="161">
        <v>9</v>
      </c>
      <c r="E20" s="135">
        <v>9</v>
      </c>
      <c r="F20" s="145" t="s">
        <v>74</v>
      </c>
      <c r="G20" s="38"/>
      <c r="H20" s="232">
        <v>8</v>
      </c>
      <c r="I20" s="82">
        <v>9</v>
      </c>
      <c r="J20" s="83"/>
      <c r="K20" s="135">
        <v>9</v>
      </c>
      <c r="L20" s="247" t="s">
        <v>74</v>
      </c>
      <c r="M20" s="268">
        <f t="shared" si="2"/>
        <v>8.8</v>
      </c>
      <c r="N20" s="183">
        <f>ROUND(M20,0)</f>
        <v>9</v>
      </c>
      <c r="O20" s="324" t="s">
        <v>74</v>
      </c>
      <c r="P20" s="330" t="s">
        <v>74</v>
      </c>
      <c r="Q20" s="53">
        <v>9</v>
      </c>
      <c r="R20" s="354">
        <v>1</v>
      </c>
      <c r="S20" s="329"/>
      <c r="T20" s="31">
        <v>6</v>
      </c>
      <c r="U20" s="41">
        <v>8</v>
      </c>
      <c r="V20" s="335">
        <f t="shared" si="3"/>
        <v>6</v>
      </c>
      <c r="W20" s="325">
        <f t="shared" si="0"/>
        <v>6</v>
      </c>
      <c r="X20" s="183">
        <f t="shared" si="4"/>
        <v>7.5</v>
      </c>
    </row>
    <row r="21" spans="1:24" ht="12.75">
      <c r="A21" s="3">
        <f t="shared" si="1"/>
        <v>6.666666666666667</v>
      </c>
      <c r="B21" s="2">
        <v>19</v>
      </c>
      <c r="C21" s="2" t="s">
        <v>173</v>
      </c>
      <c r="D21" s="38">
        <v>6</v>
      </c>
      <c r="E21" s="135">
        <v>8</v>
      </c>
      <c r="F21" s="37">
        <v>4</v>
      </c>
      <c r="G21" s="38"/>
      <c r="H21" s="232">
        <v>7</v>
      </c>
      <c r="I21" s="146">
        <v>5</v>
      </c>
      <c r="J21" s="36"/>
      <c r="K21" s="31">
        <v>9</v>
      </c>
      <c r="L21" s="41">
        <v>6</v>
      </c>
      <c r="M21" s="268">
        <f t="shared" si="2"/>
        <v>6.428571428571429</v>
      </c>
      <c r="N21" s="183">
        <v>7</v>
      </c>
      <c r="O21" s="340">
        <v>7</v>
      </c>
      <c r="P21" s="43">
        <v>6</v>
      </c>
      <c r="Q21" s="53">
        <v>9</v>
      </c>
      <c r="R21" s="53">
        <v>3</v>
      </c>
      <c r="S21" s="36"/>
      <c r="T21" s="31">
        <v>6</v>
      </c>
      <c r="U21" s="41">
        <v>9</v>
      </c>
      <c r="V21" s="335">
        <f t="shared" si="3"/>
        <v>6.666666666666667</v>
      </c>
      <c r="W21" s="325">
        <f t="shared" si="0"/>
        <v>7</v>
      </c>
      <c r="X21" s="183">
        <f t="shared" si="4"/>
        <v>7</v>
      </c>
    </row>
    <row r="22" spans="1:24" ht="12.75">
      <c r="A22" s="3">
        <f t="shared" si="1"/>
        <v>5.166666666666667</v>
      </c>
      <c r="B22" s="2">
        <v>20</v>
      </c>
      <c r="C22" s="2" t="s">
        <v>174</v>
      </c>
      <c r="D22" s="38">
        <v>5</v>
      </c>
      <c r="E22" s="135">
        <v>9</v>
      </c>
      <c r="F22" s="41">
        <v>9</v>
      </c>
      <c r="G22" s="38"/>
      <c r="H22" s="273">
        <v>3</v>
      </c>
      <c r="I22" s="222" t="s">
        <v>74</v>
      </c>
      <c r="J22" s="36"/>
      <c r="K22" s="235" t="s">
        <v>74</v>
      </c>
      <c r="L22" s="247" t="s">
        <v>74</v>
      </c>
      <c r="M22" s="268">
        <f t="shared" si="2"/>
        <v>6.5</v>
      </c>
      <c r="N22" s="183">
        <f>ROUND(M22,0)</f>
        <v>7</v>
      </c>
      <c r="O22" s="52">
        <v>6</v>
      </c>
      <c r="P22" s="43">
        <v>6</v>
      </c>
      <c r="Q22" s="338">
        <v>5</v>
      </c>
      <c r="R22" s="338">
        <v>3</v>
      </c>
      <c r="S22" s="329"/>
      <c r="T22" s="31">
        <v>5</v>
      </c>
      <c r="U22" s="41">
        <v>6</v>
      </c>
      <c r="V22" s="335">
        <f t="shared" si="3"/>
        <v>5.166666666666667</v>
      </c>
      <c r="W22" s="325">
        <f t="shared" si="0"/>
        <v>5</v>
      </c>
      <c r="X22" s="183">
        <f t="shared" si="4"/>
        <v>6</v>
      </c>
    </row>
    <row r="23" spans="1:24" ht="12.75">
      <c r="A23" s="3">
        <f t="shared" si="1"/>
        <v>6.5</v>
      </c>
      <c r="B23" s="2">
        <v>21</v>
      </c>
      <c r="C23" s="2" t="s">
        <v>175</v>
      </c>
      <c r="D23" s="38">
        <v>5</v>
      </c>
      <c r="E23" s="135">
        <v>4</v>
      </c>
      <c r="F23" s="146">
        <v>1</v>
      </c>
      <c r="G23" s="38"/>
      <c r="H23" s="225">
        <v>9</v>
      </c>
      <c r="I23" s="41">
        <v>8</v>
      </c>
      <c r="J23" s="36"/>
      <c r="K23" s="31">
        <v>10</v>
      </c>
      <c r="L23" s="41">
        <v>7</v>
      </c>
      <c r="M23" s="268">
        <f t="shared" si="2"/>
        <v>6.285714285714286</v>
      </c>
      <c r="N23" s="183">
        <f>ROUND(M23,0)</f>
        <v>6</v>
      </c>
      <c r="O23" s="52">
        <v>7</v>
      </c>
      <c r="P23" s="43">
        <v>7</v>
      </c>
      <c r="Q23" s="338">
        <v>6</v>
      </c>
      <c r="R23" s="53">
        <v>6</v>
      </c>
      <c r="S23" s="36"/>
      <c r="T23" s="31">
        <v>6</v>
      </c>
      <c r="U23" s="41">
        <v>7</v>
      </c>
      <c r="V23" s="335">
        <f t="shared" si="3"/>
        <v>6.5</v>
      </c>
      <c r="W23" s="325">
        <f t="shared" si="0"/>
        <v>7</v>
      </c>
      <c r="X23" s="183">
        <f t="shared" si="4"/>
        <v>6.5</v>
      </c>
    </row>
    <row r="24" spans="1:24" ht="12.75">
      <c r="A24" s="3">
        <f t="shared" si="1"/>
        <v>6.166666666666667</v>
      </c>
      <c r="B24" s="2">
        <v>22</v>
      </c>
      <c r="C24" s="2" t="s">
        <v>176</v>
      </c>
      <c r="D24" s="38">
        <v>5</v>
      </c>
      <c r="E24" s="135">
        <v>8</v>
      </c>
      <c r="F24" s="37">
        <v>4</v>
      </c>
      <c r="G24" s="38">
        <v>8</v>
      </c>
      <c r="H24" s="232">
        <v>1</v>
      </c>
      <c r="I24" s="41">
        <v>9</v>
      </c>
      <c r="J24" s="36"/>
      <c r="K24" s="31">
        <v>6</v>
      </c>
      <c r="L24" s="41">
        <v>6</v>
      </c>
      <c r="M24" s="268">
        <f t="shared" si="2"/>
        <v>5.875</v>
      </c>
      <c r="N24" s="183">
        <f>ROUND(M24,0)</f>
        <v>6</v>
      </c>
      <c r="O24" s="52">
        <v>8</v>
      </c>
      <c r="P24" s="43">
        <v>5</v>
      </c>
      <c r="Q24" s="53">
        <v>7</v>
      </c>
      <c r="R24" s="338">
        <v>5</v>
      </c>
      <c r="S24" s="329"/>
      <c r="T24" s="31">
        <v>5</v>
      </c>
      <c r="U24" s="41">
        <v>7</v>
      </c>
      <c r="V24" s="335">
        <f t="shared" si="3"/>
        <v>6.166666666666667</v>
      </c>
      <c r="W24" s="325">
        <f t="shared" si="0"/>
        <v>6</v>
      </c>
      <c r="X24" s="183">
        <f t="shared" si="4"/>
        <v>6</v>
      </c>
    </row>
    <row r="25" spans="1:24" ht="12.75">
      <c r="A25" s="3">
        <f t="shared" si="1"/>
        <v>4.5</v>
      </c>
      <c r="B25" s="2">
        <v>23</v>
      </c>
      <c r="C25" s="14" t="s">
        <v>177</v>
      </c>
      <c r="D25" s="271">
        <v>4</v>
      </c>
      <c r="E25" s="270">
        <v>4</v>
      </c>
      <c r="F25" s="37">
        <v>3</v>
      </c>
      <c r="G25" s="38"/>
      <c r="H25" s="232">
        <v>1</v>
      </c>
      <c r="I25" s="203">
        <v>1</v>
      </c>
      <c r="J25" s="83"/>
      <c r="K25" s="252" t="s">
        <v>74</v>
      </c>
      <c r="L25" s="247" t="s">
        <v>74</v>
      </c>
      <c r="M25" s="268">
        <f t="shared" si="2"/>
        <v>2.6</v>
      </c>
      <c r="N25" s="183">
        <f>ROUND(M25,0)</f>
        <v>3</v>
      </c>
      <c r="O25" s="324" t="s">
        <v>74</v>
      </c>
      <c r="P25" s="43">
        <v>6</v>
      </c>
      <c r="Q25" s="337" t="s">
        <v>74</v>
      </c>
      <c r="R25" s="53">
        <v>5</v>
      </c>
      <c r="S25" s="36"/>
      <c r="T25" s="31">
        <v>6</v>
      </c>
      <c r="U25" s="146">
        <v>1</v>
      </c>
      <c r="V25" s="335">
        <f t="shared" si="3"/>
        <v>4.5</v>
      </c>
      <c r="W25" s="325">
        <f t="shared" si="0"/>
        <v>5</v>
      </c>
      <c r="X25" s="183">
        <f t="shared" si="4"/>
        <v>4</v>
      </c>
    </row>
    <row r="26" spans="1:24" ht="12.75">
      <c r="A26" s="3">
        <f t="shared" si="1"/>
        <v>6.333333333333333</v>
      </c>
      <c r="B26" s="2">
        <v>24</v>
      </c>
      <c r="C26" s="14" t="s">
        <v>178</v>
      </c>
      <c r="D26" s="38">
        <v>5</v>
      </c>
      <c r="E26" s="135">
        <v>5</v>
      </c>
      <c r="F26" s="37">
        <v>4</v>
      </c>
      <c r="G26" s="38"/>
      <c r="H26" s="225">
        <v>7</v>
      </c>
      <c r="I26" s="82">
        <v>7</v>
      </c>
      <c r="J26" s="83"/>
      <c r="K26" s="31">
        <v>9</v>
      </c>
      <c r="L26" s="41">
        <v>7</v>
      </c>
      <c r="M26" s="268">
        <f t="shared" si="2"/>
        <v>6.285714285714286</v>
      </c>
      <c r="N26" s="183">
        <v>7</v>
      </c>
      <c r="O26" s="52">
        <v>5</v>
      </c>
      <c r="P26" s="43">
        <v>6</v>
      </c>
      <c r="Q26" s="53">
        <v>9</v>
      </c>
      <c r="R26" s="53">
        <v>5</v>
      </c>
      <c r="S26" s="36"/>
      <c r="T26" s="31">
        <v>6</v>
      </c>
      <c r="U26" s="41">
        <v>7</v>
      </c>
      <c r="V26" s="335">
        <f t="shared" si="3"/>
        <v>6.333333333333333</v>
      </c>
      <c r="W26" s="325">
        <v>7</v>
      </c>
      <c r="X26" s="183">
        <f t="shared" si="4"/>
        <v>7</v>
      </c>
    </row>
    <row r="27" spans="2:24" s="99" customFormat="1" ht="13.5" thickBot="1">
      <c r="B27" s="100"/>
      <c r="C27" s="180" t="s">
        <v>0</v>
      </c>
      <c r="D27" s="127">
        <f>AVERAGE(D3:D26)</f>
        <v>6.130434782608695</v>
      </c>
      <c r="E27" s="103">
        <f>AVERAGE(E3:E26)</f>
        <v>5.571428571428571</v>
      </c>
      <c r="F27" s="104">
        <f>AVERAGE(F3:F26)</f>
        <v>5.05</v>
      </c>
      <c r="G27" s="141">
        <f>AVERAGE(G3:G26)</f>
        <v>8.833333333333334</v>
      </c>
      <c r="H27" s="141">
        <f>AVERAGE(H3:H26)</f>
        <v>5.9523809523809526</v>
      </c>
      <c r="I27" s="128">
        <f aca="true" t="shared" si="6" ref="I27:X27">AVERAGE(I3:I26)</f>
        <v>7.045454545454546</v>
      </c>
      <c r="J27" s="127">
        <f t="shared" si="6"/>
        <v>9</v>
      </c>
      <c r="K27" s="103">
        <f t="shared" si="6"/>
        <v>8.166666666666666</v>
      </c>
      <c r="L27" s="104">
        <f t="shared" si="6"/>
        <v>6.0625</v>
      </c>
      <c r="M27" s="294">
        <f>AVERAGE(M3:M26)</f>
        <v>6.141071428571428</v>
      </c>
      <c r="N27" s="294">
        <f>AVERAGE(N3:N26)</f>
        <v>6.416666666666667</v>
      </c>
      <c r="O27" s="105">
        <f t="shared" si="6"/>
        <v>6.25</v>
      </c>
      <c r="P27" s="215">
        <f t="shared" si="6"/>
        <v>5.842105263157895</v>
      </c>
      <c r="Q27" s="126">
        <f t="shared" si="6"/>
        <v>6.590909090909091</v>
      </c>
      <c r="R27" s="126">
        <f t="shared" si="6"/>
        <v>5.391304347826087</v>
      </c>
      <c r="S27" s="126">
        <f t="shared" si="6"/>
        <v>10</v>
      </c>
      <c r="T27" s="103">
        <f t="shared" si="6"/>
        <v>5.681818181818182</v>
      </c>
      <c r="U27" s="104">
        <f t="shared" si="6"/>
        <v>6.208333333333333</v>
      </c>
      <c r="V27" s="294">
        <f t="shared" si="6"/>
        <v>5.886011904761905</v>
      </c>
      <c r="W27" s="294">
        <f t="shared" si="6"/>
        <v>6.041666666666667</v>
      </c>
      <c r="X27" s="294">
        <f t="shared" si="6"/>
        <v>6.229166666666667</v>
      </c>
    </row>
    <row r="28" spans="2:24" s="99" customFormat="1" ht="13.5" thickBot="1">
      <c r="B28" s="100"/>
      <c r="C28" s="109"/>
      <c r="D28" s="112" t="s">
        <v>56</v>
      </c>
      <c r="E28" s="112" t="s">
        <v>57</v>
      </c>
      <c r="F28" s="113" t="s">
        <v>288</v>
      </c>
      <c r="G28" s="137" t="s">
        <v>197</v>
      </c>
      <c r="H28" s="198" t="s">
        <v>287</v>
      </c>
      <c r="I28" s="138" t="s">
        <v>289</v>
      </c>
      <c r="J28" s="110" t="s">
        <v>197</v>
      </c>
      <c r="K28" s="113" t="s">
        <v>300</v>
      </c>
      <c r="L28" s="112" t="s">
        <v>301</v>
      </c>
      <c r="M28" s="266"/>
      <c r="N28" s="265"/>
      <c r="O28" s="112" t="s">
        <v>308</v>
      </c>
      <c r="P28" s="114" t="s">
        <v>309</v>
      </c>
      <c r="Q28" s="112" t="s">
        <v>367</v>
      </c>
      <c r="R28" s="110" t="s">
        <v>311</v>
      </c>
      <c r="S28" s="110" t="s">
        <v>197</v>
      </c>
      <c r="T28" s="110" t="s">
        <v>313</v>
      </c>
      <c r="U28" s="112" t="s">
        <v>274</v>
      </c>
      <c r="V28" s="116"/>
      <c r="W28" s="117"/>
      <c r="X28"/>
    </row>
    <row r="29" spans="2:24" s="118" customFormat="1" ht="13.5" thickBot="1">
      <c r="B29" s="100"/>
      <c r="C29" s="119" t="s">
        <v>32</v>
      </c>
      <c r="D29" s="442" t="s">
        <v>269</v>
      </c>
      <c r="E29" s="440"/>
      <c r="F29" s="441"/>
      <c r="G29" s="444" t="s">
        <v>290</v>
      </c>
      <c r="H29" s="445"/>
      <c r="I29" s="446"/>
      <c r="J29" s="442" t="s">
        <v>302</v>
      </c>
      <c r="K29" s="440"/>
      <c r="L29" s="441"/>
      <c r="M29" s="120">
        <f>N29/$B$26</f>
        <v>1</v>
      </c>
      <c r="N29" s="264">
        <f>COUNTIF(N3:N26,"&gt;2")</f>
        <v>24</v>
      </c>
      <c r="O29" s="111" t="s">
        <v>358</v>
      </c>
      <c r="P29" s="111" t="s">
        <v>359</v>
      </c>
      <c r="Q29" s="442" t="s">
        <v>310</v>
      </c>
      <c r="R29" s="441"/>
      <c r="S29" s="442" t="s">
        <v>312</v>
      </c>
      <c r="T29" s="440"/>
      <c r="U29" s="441"/>
      <c r="V29" s="120">
        <f>W29/$B$26</f>
        <v>1</v>
      </c>
      <c r="W29" s="121">
        <f>COUNTIF(W3:W26,"&gt;2")</f>
        <v>24</v>
      </c>
      <c r="X29"/>
    </row>
    <row r="30" spans="2:24" s="118" customFormat="1" ht="12.75">
      <c r="B30" s="100"/>
      <c r="C30" s="119" t="s">
        <v>33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0">
        <f>N30/$B$26</f>
        <v>0.7083333333333334</v>
      </c>
      <c r="N30" s="121">
        <f>COUNTIF(N3:N26,"&gt;5")</f>
        <v>17</v>
      </c>
      <c r="O30" s="122"/>
      <c r="P30" s="122"/>
      <c r="Q30" s="122"/>
      <c r="R30" s="122"/>
      <c r="S30" s="122"/>
      <c r="T30" s="122"/>
      <c r="U30" s="122"/>
      <c r="V30" s="120">
        <f>W30/$B$26</f>
        <v>0.4583333333333333</v>
      </c>
      <c r="W30" s="121">
        <f>COUNTIF(W3:W26,"&gt;6")</f>
        <v>11</v>
      </c>
      <c r="X30"/>
    </row>
    <row r="32" ht="12.75">
      <c r="C32" t="s">
        <v>283</v>
      </c>
    </row>
  </sheetData>
  <sheetProtection/>
  <mergeCells count="7">
    <mergeCell ref="S29:U29"/>
    <mergeCell ref="J1:P1"/>
    <mergeCell ref="D1:I1"/>
    <mergeCell ref="G29:I29"/>
    <mergeCell ref="J29:L29"/>
    <mergeCell ref="D29:F29"/>
    <mergeCell ref="Q29:R29"/>
  </mergeCells>
  <conditionalFormatting sqref="M3:N26 V3:X26">
    <cfRule type="cellIs" priority="19" dxfId="1" operator="lessThan" stopIfTrue="1">
      <formula>2.5</formula>
    </cfRule>
    <cfRule type="cellIs" priority="20" dxfId="0" operator="greaterThanOrEqual" stopIfTrue="1">
      <formula>5.5</formula>
    </cfRule>
  </conditionalFormatting>
  <conditionalFormatting sqref="M27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N27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V27:X27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pane xSplit="3" ySplit="2" topLeftCell="R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20" sqref="C20"/>
    </sheetView>
  </sheetViews>
  <sheetFormatPr defaultColWidth="9.00390625" defaultRowHeight="12.75"/>
  <cols>
    <col min="1" max="1" width="3.625" style="0" hidden="1" customWidth="1"/>
    <col min="2" max="2" width="3.00390625" style="0" bestFit="1" customWidth="1"/>
    <col min="3" max="3" width="21.875" style="0" customWidth="1"/>
    <col min="4" max="4" width="6.375" style="0" customWidth="1"/>
    <col min="5" max="5" width="5.875" style="0" customWidth="1"/>
    <col min="6" max="7" width="5.625" style="0" customWidth="1"/>
    <col min="8" max="14" width="5.375" style="0" customWidth="1"/>
    <col min="15" max="15" width="9.875" style="3" customWidth="1"/>
    <col min="16" max="16" width="9.125" style="125" customWidth="1"/>
    <col min="17" max="22" width="5.375" style="0" customWidth="1"/>
    <col min="23" max="29" width="5.875" style="0" customWidth="1"/>
    <col min="30" max="31" width="6.375" style="0" customWidth="1"/>
    <col min="32" max="32" width="6.75390625" style="0" customWidth="1"/>
    <col min="33" max="33" width="9.875" style="3" customWidth="1"/>
    <col min="34" max="35" width="9.125" style="125" customWidth="1"/>
  </cols>
  <sheetData>
    <row r="1" spans="4:56" ht="16.5" thickBot="1">
      <c r="D1" s="200" t="s">
        <v>123</v>
      </c>
      <c r="E1" s="30"/>
      <c r="F1" s="30"/>
      <c r="G1" s="30"/>
      <c r="H1" s="65"/>
      <c r="I1" s="65"/>
      <c r="J1" s="65"/>
      <c r="K1" s="65"/>
      <c r="L1" s="65"/>
      <c r="M1" s="65"/>
      <c r="N1" s="65"/>
      <c r="O1" s="24"/>
      <c r="P1" s="12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24"/>
      <c r="AH1" s="123"/>
      <c r="AI1" s="12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25"/>
      <c r="AZ1" s="26"/>
      <c r="BC1" s="6"/>
      <c r="BD1" s="7"/>
    </row>
    <row r="2" spans="2:52" ht="16.5" customHeight="1" thickBot="1">
      <c r="B2" s="27" t="s">
        <v>47</v>
      </c>
      <c r="C2" s="29" t="s">
        <v>23</v>
      </c>
      <c r="D2" s="33"/>
      <c r="E2" s="50">
        <v>44082</v>
      </c>
      <c r="F2" s="73"/>
      <c r="G2" s="140">
        <v>44098</v>
      </c>
      <c r="H2" s="140">
        <v>44105</v>
      </c>
      <c r="I2" s="64">
        <v>44112</v>
      </c>
      <c r="J2" s="33">
        <v>44147</v>
      </c>
      <c r="K2" s="34">
        <v>44166</v>
      </c>
      <c r="L2" s="254"/>
      <c r="M2" s="254">
        <v>44182</v>
      </c>
      <c r="N2" s="255">
        <v>44187</v>
      </c>
      <c r="O2" s="134" t="s">
        <v>21</v>
      </c>
      <c r="P2" s="263" t="s">
        <v>81</v>
      </c>
      <c r="Q2" s="73"/>
      <c r="R2" s="140">
        <v>44222</v>
      </c>
      <c r="S2" s="251">
        <v>44225</v>
      </c>
      <c r="T2" s="73"/>
      <c r="U2" s="251">
        <v>44239</v>
      </c>
      <c r="V2" s="33">
        <v>44308</v>
      </c>
      <c r="W2" s="50">
        <v>44309</v>
      </c>
      <c r="X2" s="33"/>
      <c r="Y2" s="46">
        <v>44321</v>
      </c>
      <c r="Z2" s="46">
        <v>44328</v>
      </c>
      <c r="AA2" s="46">
        <v>44329</v>
      </c>
      <c r="AB2" s="62">
        <v>44336</v>
      </c>
      <c r="AC2" s="50">
        <v>44341</v>
      </c>
      <c r="AD2" s="33"/>
      <c r="AE2" s="224">
        <v>44349</v>
      </c>
      <c r="AF2" s="34">
        <v>44358</v>
      </c>
      <c r="AG2" s="262" t="s">
        <v>21</v>
      </c>
      <c r="AH2" s="124" t="s">
        <v>305</v>
      </c>
      <c r="AI2" s="181" t="s">
        <v>306</v>
      </c>
      <c r="AS2" s="13"/>
      <c r="AT2" s="13"/>
      <c r="AU2" s="13"/>
      <c r="AV2" s="13"/>
      <c r="AW2" s="13"/>
      <c r="AX2" s="13"/>
      <c r="AY2" s="13"/>
      <c r="AZ2" s="13"/>
    </row>
    <row r="3" spans="1:38" ht="12.75">
      <c r="A3" s="3">
        <f>O3</f>
        <v>5.285714285714286</v>
      </c>
      <c r="B3" s="2">
        <v>1</v>
      </c>
      <c r="C3" s="2" t="s">
        <v>139</v>
      </c>
      <c r="D3" s="39"/>
      <c r="E3" s="95">
        <v>5</v>
      </c>
      <c r="F3" s="56"/>
      <c r="G3" s="79">
        <v>6</v>
      </c>
      <c r="H3" s="154">
        <v>8</v>
      </c>
      <c r="I3" s="158" t="s">
        <v>74</v>
      </c>
      <c r="J3" s="234">
        <v>4</v>
      </c>
      <c r="K3" s="70">
        <v>3</v>
      </c>
      <c r="L3" s="55">
        <v>3</v>
      </c>
      <c r="M3" s="256" t="s">
        <v>74</v>
      </c>
      <c r="N3" s="57">
        <v>8</v>
      </c>
      <c r="O3" s="268">
        <f>AVERAGE(D3:N3)</f>
        <v>5.285714285714286</v>
      </c>
      <c r="P3" s="325">
        <f aca="true" t="shared" si="0" ref="P3:P29">ROUND(O3,0)</f>
        <v>5</v>
      </c>
      <c r="Q3" s="55"/>
      <c r="R3" s="71">
        <v>3</v>
      </c>
      <c r="S3" s="70">
        <v>6</v>
      </c>
      <c r="T3" s="55"/>
      <c r="U3" s="249">
        <v>8</v>
      </c>
      <c r="V3" s="55">
        <v>5</v>
      </c>
      <c r="W3" s="70">
        <v>6</v>
      </c>
      <c r="X3" s="55">
        <v>7</v>
      </c>
      <c r="Y3" s="61">
        <v>5</v>
      </c>
      <c r="Z3" s="302">
        <v>2</v>
      </c>
      <c r="AA3" s="302" t="s">
        <v>74</v>
      </c>
      <c r="AB3" s="71">
        <v>9</v>
      </c>
      <c r="AC3" s="249">
        <v>4</v>
      </c>
      <c r="AD3" s="55"/>
      <c r="AE3" s="342">
        <v>6</v>
      </c>
      <c r="AF3" s="57">
        <v>7</v>
      </c>
      <c r="AG3" s="335">
        <f>AVERAGE(Q3:AF3)</f>
        <v>5.666666666666667</v>
      </c>
      <c r="AH3" s="325">
        <f aca="true" t="shared" si="1" ref="AH3:AH29">ROUND(AG3,0)</f>
        <v>6</v>
      </c>
      <c r="AI3" s="182">
        <f>AVERAGE(P3,AH3)</f>
        <v>5.5</v>
      </c>
      <c r="AJ3" s="345" t="s">
        <v>27</v>
      </c>
      <c r="AK3" s="1">
        <f>COUNTIF(AH3:AH29,"&gt;8")</f>
        <v>0</v>
      </c>
      <c r="AL3" s="17">
        <f>AK3/$B$29</f>
        <v>0</v>
      </c>
    </row>
    <row r="4" spans="1:38" ht="12.75">
      <c r="A4" s="3">
        <f>O4</f>
        <v>5.142857142857143</v>
      </c>
      <c r="B4" s="2">
        <v>2</v>
      </c>
      <c r="C4" s="2" t="s">
        <v>146</v>
      </c>
      <c r="D4" s="38"/>
      <c r="E4" s="94">
        <v>6</v>
      </c>
      <c r="F4" s="38"/>
      <c r="G4" s="5">
        <v>6</v>
      </c>
      <c r="H4" s="85">
        <v>6</v>
      </c>
      <c r="I4" s="82">
        <v>5</v>
      </c>
      <c r="J4" s="36">
        <v>4</v>
      </c>
      <c r="K4" s="45">
        <v>4</v>
      </c>
      <c r="L4" s="36"/>
      <c r="M4" s="31">
        <v>5</v>
      </c>
      <c r="N4" s="247" t="s">
        <v>74</v>
      </c>
      <c r="O4" s="268">
        <f aca="true" t="shared" si="2" ref="O4:O29">AVERAGE(D4:N4)</f>
        <v>5.142857142857143</v>
      </c>
      <c r="P4" s="325">
        <f t="shared" si="0"/>
        <v>5</v>
      </c>
      <c r="Q4" s="36"/>
      <c r="R4" s="31">
        <v>6</v>
      </c>
      <c r="S4" s="45">
        <v>5</v>
      </c>
      <c r="T4" s="36"/>
      <c r="U4" s="45">
        <v>8</v>
      </c>
      <c r="V4" s="161">
        <v>3</v>
      </c>
      <c r="W4" s="94">
        <v>4</v>
      </c>
      <c r="X4" s="36"/>
      <c r="Y4" s="49">
        <v>7</v>
      </c>
      <c r="Z4" s="299">
        <v>2</v>
      </c>
      <c r="AA4" s="299">
        <v>5</v>
      </c>
      <c r="AB4" s="31">
        <v>9</v>
      </c>
      <c r="AC4" s="94">
        <v>2</v>
      </c>
      <c r="AD4" s="36"/>
      <c r="AE4" s="232">
        <v>2</v>
      </c>
      <c r="AF4" s="41">
        <v>4</v>
      </c>
      <c r="AG4" s="335">
        <f aca="true" t="shared" si="3" ref="AG4:AG29">AVERAGE(Q4:AF4)</f>
        <v>4.75</v>
      </c>
      <c r="AH4" s="325">
        <f t="shared" si="1"/>
        <v>5</v>
      </c>
      <c r="AI4" s="183">
        <f aca="true" t="shared" si="4" ref="AI4:AI29">AVERAGE(P4,AH4)</f>
        <v>5</v>
      </c>
      <c r="AJ4" s="345" t="s">
        <v>28</v>
      </c>
      <c r="AK4" s="18">
        <f>COUNTIF(AH3:AH29,7)+COUNTIF(AH3:AH29,8)+COUNTIF(AH3:AH29,6)</f>
        <v>15</v>
      </c>
      <c r="AL4" s="17">
        <f>AK4/$B$29</f>
        <v>0.5555555555555556</v>
      </c>
    </row>
    <row r="5" spans="1:38" ht="12.75">
      <c r="A5" s="3">
        <f>O5</f>
        <v>4.375</v>
      </c>
      <c r="B5" s="2">
        <v>3</v>
      </c>
      <c r="C5" s="2" t="s">
        <v>147</v>
      </c>
      <c r="D5" s="38"/>
      <c r="E5" s="94">
        <v>3</v>
      </c>
      <c r="F5" s="38"/>
      <c r="G5" s="5">
        <v>4</v>
      </c>
      <c r="H5" s="85">
        <v>6</v>
      </c>
      <c r="I5" s="203">
        <v>2</v>
      </c>
      <c r="J5" s="161">
        <v>5</v>
      </c>
      <c r="K5" s="45">
        <v>5</v>
      </c>
      <c r="L5" s="36"/>
      <c r="M5" s="31">
        <v>4</v>
      </c>
      <c r="N5" s="41">
        <v>6</v>
      </c>
      <c r="O5" s="268">
        <f t="shared" si="2"/>
        <v>4.375</v>
      </c>
      <c r="P5" s="325">
        <f t="shared" si="0"/>
        <v>4</v>
      </c>
      <c r="Q5" s="36">
        <v>7</v>
      </c>
      <c r="R5" s="31">
        <v>4</v>
      </c>
      <c r="S5" s="94">
        <v>7</v>
      </c>
      <c r="T5" s="36">
        <v>7</v>
      </c>
      <c r="U5" s="45">
        <v>6</v>
      </c>
      <c r="V5" s="36">
        <v>8</v>
      </c>
      <c r="W5" s="45">
        <v>9</v>
      </c>
      <c r="X5" s="36">
        <v>7</v>
      </c>
      <c r="Y5" s="49">
        <v>7</v>
      </c>
      <c r="Z5" s="49">
        <v>4</v>
      </c>
      <c r="AA5" s="49">
        <v>6</v>
      </c>
      <c r="AB5" s="31">
        <v>9</v>
      </c>
      <c r="AC5" s="45">
        <v>7</v>
      </c>
      <c r="AD5" s="36">
        <v>9</v>
      </c>
      <c r="AE5" s="43">
        <v>5</v>
      </c>
      <c r="AF5" s="41">
        <v>5</v>
      </c>
      <c r="AG5" s="335">
        <f t="shared" si="3"/>
        <v>6.6875</v>
      </c>
      <c r="AH5" s="325">
        <f t="shared" si="1"/>
        <v>7</v>
      </c>
      <c r="AI5" s="183">
        <f t="shared" si="4"/>
        <v>5.5</v>
      </c>
      <c r="AJ5" s="345" t="s">
        <v>29</v>
      </c>
      <c r="AK5" s="18">
        <f>COUNTIF(AH3:AH29,3)+COUNTIF(AH3:AH29,4)+COUNTIF(AH3:AH29,5)</f>
        <v>12</v>
      </c>
      <c r="AL5" s="17">
        <f>AK5/$B$29</f>
        <v>0.4444444444444444</v>
      </c>
    </row>
    <row r="6" spans="1:38" ht="12.75">
      <c r="A6" s="3">
        <f>AG6</f>
        <v>5.416666666666667</v>
      </c>
      <c r="B6" s="2">
        <v>4</v>
      </c>
      <c r="C6" s="2" t="s">
        <v>148</v>
      </c>
      <c r="D6" s="38"/>
      <c r="E6" s="94">
        <v>4</v>
      </c>
      <c r="F6" s="38"/>
      <c r="G6" s="5">
        <v>7</v>
      </c>
      <c r="H6" s="31">
        <v>5</v>
      </c>
      <c r="I6" s="41">
        <v>6</v>
      </c>
      <c r="J6" s="36">
        <v>5</v>
      </c>
      <c r="K6" s="45">
        <v>4</v>
      </c>
      <c r="L6" s="36">
        <v>4</v>
      </c>
      <c r="M6" s="252" t="s">
        <v>74</v>
      </c>
      <c r="N6" s="247" t="s">
        <v>74</v>
      </c>
      <c r="O6" s="268">
        <f t="shared" si="2"/>
        <v>5</v>
      </c>
      <c r="P6" s="325">
        <f t="shared" si="0"/>
        <v>5</v>
      </c>
      <c r="Q6" s="36"/>
      <c r="R6" s="31">
        <v>3</v>
      </c>
      <c r="S6" s="45">
        <v>6</v>
      </c>
      <c r="T6" s="36"/>
      <c r="U6" s="45">
        <v>8</v>
      </c>
      <c r="V6" s="36">
        <v>5</v>
      </c>
      <c r="W6" s="45">
        <v>6</v>
      </c>
      <c r="X6" s="36"/>
      <c r="Y6" s="49">
        <v>4</v>
      </c>
      <c r="Z6" s="49">
        <v>3</v>
      </c>
      <c r="AA6" s="299">
        <v>4</v>
      </c>
      <c r="AB6" s="31">
        <v>9</v>
      </c>
      <c r="AC6" s="45">
        <v>4</v>
      </c>
      <c r="AD6" s="36"/>
      <c r="AE6" s="43">
        <v>6</v>
      </c>
      <c r="AF6" s="41">
        <v>7</v>
      </c>
      <c r="AG6" s="335">
        <f t="shared" si="3"/>
        <v>5.416666666666667</v>
      </c>
      <c r="AH6" s="325">
        <v>6</v>
      </c>
      <c r="AI6" s="183">
        <f t="shared" si="4"/>
        <v>5.5</v>
      </c>
      <c r="AJ6" s="345" t="s">
        <v>30</v>
      </c>
      <c r="AK6" s="1">
        <f>COUNTIF(AH3:AH29,"&lt;3")</f>
        <v>0</v>
      </c>
      <c r="AL6" s="17">
        <f>AK6/$B$29</f>
        <v>0</v>
      </c>
    </row>
    <row r="7" spans="1:38" ht="12.75">
      <c r="A7" s="3">
        <f aca="true" t="shared" si="5" ref="A7:A29">AG7</f>
        <v>3.727272727272727</v>
      </c>
      <c r="B7" s="2">
        <v>5</v>
      </c>
      <c r="C7" s="2" t="s">
        <v>137</v>
      </c>
      <c r="D7" s="38"/>
      <c r="E7" s="94">
        <v>4</v>
      </c>
      <c r="F7" s="38"/>
      <c r="G7" s="5">
        <v>3</v>
      </c>
      <c r="H7" s="31">
        <v>6</v>
      </c>
      <c r="I7" s="41">
        <v>7</v>
      </c>
      <c r="J7" s="36">
        <v>4</v>
      </c>
      <c r="K7" s="45">
        <v>5</v>
      </c>
      <c r="L7" s="36"/>
      <c r="M7" s="31">
        <v>6</v>
      </c>
      <c r="N7" s="41">
        <v>7</v>
      </c>
      <c r="O7" s="268">
        <f t="shared" si="2"/>
        <v>5.25</v>
      </c>
      <c r="P7" s="325">
        <v>6</v>
      </c>
      <c r="Q7" s="36"/>
      <c r="R7" s="31">
        <v>6</v>
      </c>
      <c r="S7" s="326" t="s">
        <v>74</v>
      </c>
      <c r="T7" s="36">
        <v>1</v>
      </c>
      <c r="U7" s="45">
        <v>6</v>
      </c>
      <c r="V7" s="329" t="s">
        <v>74</v>
      </c>
      <c r="W7" s="45">
        <v>4</v>
      </c>
      <c r="X7" s="36"/>
      <c r="Y7" s="299">
        <v>5</v>
      </c>
      <c r="Z7" s="299">
        <v>1</v>
      </c>
      <c r="AA7" s="299">
        <v>1</v>
      </c>
      <c r="AB7" s="31">
        <v>5</v>
      </c>
      <c r="AC7" s="94">
        <v>1</v>
      </c>
      <c r="AD7" s="36"/>
      <c r="AE7" s="43">
        <v>3</v>
      </c>
      <c r="AF7" s="41">
        <v>8</v>
      </c>
      <c r="AG7" s="335">
        <f t="shared" si="3"/>
        <v>3.727272727272727</v>
      </c>
      <c r="AH7" s="325">
        <f t="shared" si="1"/>
        <v>4</v>
      </c>
      <c r="AI7" s="183">
        <f t="shared" si="4"/>
        <v>5</v>
      </c>
      <c r="AJ7" s="346" t="s">
        <v>31</v>
      </c>
      <c r="AK7" s="1">
        <f>B29-SUM(AK3:AK6)</f>
        <v>0</v>
      </c>
      <c r="AL7" s="17">
        <f>AK7/$B$29</f>
        <v>0</v>
      </c>
    </row>
    <row r="8" spans="1:35" ht="12.75">
      <c r="A8" s="3">
        <f t="shared" si="5"/>
        <v>5.461538461538462</v>
      </c>
      <c r="B8" s="2">
        <v>6</v>
      </c>
      <c r="C8" s="2" t="s">
        <v>141</v>
      </c>
      <c r="D8" s="38">
        <v>8</v>
      </c>
      <c r="E8" s="94">
        <v>3</v>
      </c>
      <c r="F8" s="38">
        <v>7</v>
      </c>
      <c r="G8" s="5">
        <v>5</v>
      </c>
      <c r="H8" s="85">
        <v>5</v>
      </c>
      <c r="I8" s="82">
        <v>3</v>
      </c>
      <c r="J8" s="161">
        <v>2</v>
      </c>
      <c r="K8" s="45">
        <v>5</v>
      </c>
      <c r="L8" s="36"/>
      <c r="M8" s="31">
        <v>4</v>
      </c>
      <c r="N8" s="41">
        <v>9</v>
      </c>
      <c r="O8" s="268">
        <f t="shared" si="2"/>
        <v>5.1</v>
      </c>
      <c r="P8" s="325">
        <f t="shared" si="0"/>
        <v>5</v>
      </c>
      <c r="Q8" s="36"/>
      <c r="R8" s="31">
        <v>3</v>
      </c>
      <c r="S8" s="45">
        <v>5</v>
      </c>
      <c r="T8" s="36">
        <v>6</v>
      </c>
      <c r="U8" s="45">
        <v>5</v>
      </c>
      <c r="V8" s="161">
        <v>5</v>
      </c>
      <c r="W8" s="45">
        <v>4</v>
      </c>
      <c r="X8" s="36"/>
      <c r="Y8" s="49">
        <v>7</v>
      </c>
      <c r="Z8" s="299">
        <v>6</v>
      </c>
      <c r="AA8" s="49">
        <v>5</v>
      </c>
      <c r="AB8" s="31">
        <v>9</v>
      </c>
      <c r="AC8" s="45">
        <v>4</v>
      </c>
      <c r="AD8" s="36"/>
      <c r="AE8" s="43">
        <v>4</v>
      </c>
      <c r="AF8" s="41">
        <v>8</v>
      </c>
      <c r="AG8" s="335">
        <f t="shared" si="3"/>
        <v>5.461538461538462</v>
      </c>
      <c r="AH8" s="325">
        <v>6</v>
      </c>
      <c r="AI8" s="183">
        <f t="shared" si="4"/>
        <v>5.5</v>
      </c>
    </row>
    <row r="9" spans="1:35" ht="12.75">
      <c r="A9" s="3">
        <f t="shared" si="5"/>
        <v>5.5</v>
      </c>
      <c r="B9" s="2">
        <v>7</v>
      </c>
      <c r="C9" s="2" t="s">
        <v>129</v>
      </c>
      <c r="D9" s="38"/>
      <c r="E9" s="94">
        <v>5</v>
      </c>
      <c r="F9" s="38"/>
      <c r="G9" s="5">
        <v>3</v>
      </c>
      <c r="H9" s="85">
        <v>6</v>
      </c>
      <c r="I9" s="82">
        <v>5</v>
      </c>
      <c r="J9" s="36">
        <v>7</v>
      </c>
      <c r="K9" s="272">
        <v>5</v>
      </c>
      <c r="L9" s="36"/>
      <c r="M9" s="252" t="s">
        <v>74</v>
      </c>
      <c r="N9" s="247" t="s">
        <v>74</v>
      </c>
      <c r="O9" s="268">
        <f t="shared" si="2"/>
        <v>5.166666666666667</v>
      </c>
      <c r="P9" s="325">
        <f t="shared" si="0"/>
        <v>5</v>
      </c>
      <c r="Q9" s="36"/>
      <c r="R9" s="135">
        <v>6</v>
      </c>
      <c r="S9" s="94">
        <v>7</v>
      </c>
      <c r="T9" s="36"/>
      <c r="U9" s="45">
        <v>3</v>
      </c>
      <c r="V9" s="36">
        <v>8</v>
      </c>
      <c r="W9" s="45">
        <v>7</v>
      </c>
      <c r="X9" s="36"/>
      <c r="Y9" s="49">
        <v>5</v>
      </c>
      <c r="Z9" s="299">
        <v>2</v>
      </c>
      <c r="AA9" s="299">
        <v>1</v>
      </c>
      <c r="AB9" s="31">
        <v>9</v>
      </c>
      <c r="AC9" s="45">
        <v>5</v>
      </c>
      <c r="AD9" s="36"/>
      <c r="AE9" s="43">
        <v>4</v>
      </c>
      <c r="AF9" s="41">
        <v>9</v>
      </c>
      <c r="AG9" s="335">
        <f t="shared" si="3"/>
        <v>5.5</v>
      </c>
      <c r="AH9" s="325">
        <f t="shared" si="1"/>
        <v>6</v>
      </c>
      <c r="AI9" s="183">
        <f t="shared" si="4"/>
        <v>5.5</v>
      </c>
    </row>
    <row r="10" spans="1:35" ht="12.75">
      <c r="A10" s="3">
        <f t="shared" si="5"/>
        <v>5.5</v>
      </c>
      <c r="B10" s="2">
        <v>8</v>
      </c>
      <c r="C10" s="2" t="s">
        <v>149</v>
      </c>
      <c r="D10" s="38"/>
      <c r="E10" s="94">
        <v>4</v>
      </c>
      <c r="F10" s="38"/>
      <c r="G10" s="5">
        <v>4</v>
      </c>
      <c r="H10" s="31">
        <v>4</v>
      </c>
      <c r="I10" s="146">
        <v>1</v>
      </c>
      <c r="J10" s="36">
        <v>5</v>
      </c>
      <c r="K10" s="45">
        <v>6</v>
      </c>
      <c r="L10" s="36"/>
      <c r="M10" s="31">
        <v>4</v>
      </c>
      <c r="N10" s="41">
        <v>6</v>
      </c>
      <c r="O10" s="268">
        <f t="shared" si="2"/>
        <v>4.25</v>
      </c>
      <c r="P10" s="325">
        <f t="shared" si="0"/>
        <v>4</v>
      </c>
      <c r="Q10" s="36"/>
      <c r="R10" s="31">
        <v>8</v>
      </c>
      <c r="S10" s="45">
        <v>6</v>
      </c>
      <c r="T10" s="36"/>
      <c r="U10" s="45">
        <v>6</v>
      </c>
      <c r="V10" s="36">
        <v>7</v>
      </c>
      <c r="W10" s="45">
        <v>7</v>
      </c>
      <c r="X10" s="36"/>
      <c r="Y10" s="299">
        <v>5</v>
      </c>
      <c r="Z10" s="299">
        <v>1</v>
      </c>
      <c r="AA10" s="299">
        <v>1</v>
      </c>
      <c r="AB10" s="31">
        <v>9</v>
      </c>
      <c r="AC10" s="45">
        <v>5</v>
      </c>
      <c r="AD10" s="36"/>
      <c r="AE10" s="43">
        <v>5</v>
      </c>
      <c r="AF10" s="41">
        <v>6</v>
      </c>
      <c r="AG10" s="335">
        <f t="shared" si="3"/>
        <v>5.5</v>
      </c>
      <c r="AH10" s="325">
        <f t="shared" si="1"/>
        <v>6</v>
      </c>
      <c r="AI10" s="183">
        <f t="shared" si="4"/>
        <v>5</v>
      </c>
    </row>
    <row r="11" spans="1:35" ht="12.75">
      <c r="A11" s="356">
        <f t="shared" si="5"/>
        <v>5.666666666666667</v>
      </c>
      <c r="B11" s="2">
        <v>9</v>
      </c>
      <c r="C11" s="2" t="s">
        <v>150</v>
      </c>
      <c r="D11" s="38"/>
      <c r="E11" s="94">
        <v>4</v>
      </c>
      <c r="F11" s="38"/>
      <c r="G11" s="135" t="s">
        <v>74</v>
      </c>
      <c r="H11" s="31">
        <v>6</v>
      </c>
      <c r="I11" s="41">
        <v>7</v>
      </c>
      <c r="J11" s="161">
        <v>5</v>
      </c>
      <c r="K11" s="45">
        <v>5</v>
      </c>
      <c r="L11" s="36">
        <v>9</v>
      </c>
      <c r="M11" s="31">
        <v>4</v>
      </c>
      <c r="N11" s="41">
        <v>8</v>
      </c>
      <c r="O11" s="268">
        <f t="shared" si="2"/>
        <v>6</v>
      </c>
      <c r="P11" s="325">
        <f t="shared" si="0"/>
        <v>6</v>
      </c>
      <c r="Q11" s="36"/>
      <c r="R11" s="31">
        <v>8</v>
      </c>
      <c r="S11" s="45">
        <v>8</v>
      </c>
      <c r="T11" s="36"/>
      <c r="U11" s="45">
        <v>5</v>
      </c>
      <c r="V11" s="36">
        <v>7</v>
      </c>
      <c r="W11" s="45">
        <v>6</v>
      </c>
      <c r="X11" s="36"/>
      <c r="Y11" s="49">
        <v>6</v>
      </c>
      <c r="Z11" s="299">
        <v>3</v>
      </c>
      <c r="AA11" s="299">
        <v>1</v>
      </c>
      <c r="AB11" s="135">
        <v>8</v>
      </c>
      <c r="AC11" s="94">
        <v>6</v>
      </c>
      <c r="AD11" s="36"/>
      <c r="AE11" s="43">
        <v>3</v>
      </c>
      <c r="AF11" s="41">
        <v>7</v>
      </c>
      <c r="AG11" s="335">
        <f t="shared" si="3"/>
        <v>5.666666666666667</v>
      </c>
      <c r="AH11" s="325">
        <f t="shared" si="1"/>
        <v>6</v>
      </c>
      <c r="AI11" s="183">
        <f t="shared" si="4"/>
        <v>6</v>
      </c>
    </row>
    <row r="12" spans="1:35" ht="12.75">
      <c r="A12" s="3">
        <f t="shared" si="5"/>
        <v>5.230769230769231</v>
      </c>
      <c r="B12" s="2">
        <v>10</v>
      </c>
      <c r="C12" s="2" t="s">
        <v>128</v>
      </c>
      <c r="D12" s="38"/>
      <c r="E12" s="94">
        <v>5</v>
      </c>
      <c r="F12" s="38"/>
      <c r="G12" s="5">
        <v>3</v>
      </c>
      <c r="H12" s="85">
        <v>6</v>
      </c>
      <c r="I12" s="82">
        <v>8</v>
      </c>
      <c r="J12" s="36">
        <v>6</v>
      </c>
      <c r="K12" s="45">
        <v>4</v>
      </c>
      <c r="L12" s="36"/>
      <c r="M12" s="31">
        <v>4</v>
      </c>
      <c r="N12" s="41">
        <v>6</v>
      </c>
      <c r="O12" s="268">
        <f t="shared" si="2"/>
        <v>5.25</v>
      </c>
      <c r="P12" s="325">
        <v>6</v>
      </c>
      <c r="Q12" s="36"/>
      <c r="R12" s="31">
        <v>6</v>
      </c>
      <c r="S12" s="94">
        <v>4</v>
      </c>
      <c r="T12" s="36"/>
      <c r="U12" s="45">
        <v>3</v>
      </c>
      <c r="V12" s="36">
        <v>8</v>
      </c>
      <c r="W12" s="94">
        <v>4</v>
      </c>
      <c r="X12" s="36">
        <v>9</v>
      </c>
      <c r="Y12" s="49">
        <v>5</v>
      </c>
      <c r="Z12" s="299">
        <v>1</v>
      </c>
      <c r="AA12" s="299">
        <v>4</v>
      </c>
      <c r="AB12" s="31">
        <v>6</v>
      </c>
      <c r="AC12" s="94">
        <v>8</v>
      </c>
      <c r="AD12" s="36"/>
      <c r="AE12" s="232">
        <v>2</v>
      </c>
      <c r="AF12" s="41">
        <v>8</v>
      </c>
      <c r="AG12" s="335">
        <f t="shared" si="3"/>
        <v>5.230769230769231</v>
      </c>
      <c r="AH12" s="325">
        <f t="shared" si="1"/>
        <v>5</v>
      </c>
      <c r="AI12" s="183">
        <f t="shared" si="4"/>
        <v>5.5</v>
      </c>
    </row>
    <row r="13" spans="1:35" ht="12.75">
      <c r="A13" s="3">
        <f t="shared" si="5"/>
        <v>6</v>
      </c>
      <c r="B13" s="2">
        <v>11</v>
      </c>
      <c r="C13" s="2" t="s">
        <v>138</v>
      </c>
      <c r="D13" s="38"/>
      <c r="E13" s="94">
        <v>6</v>
      </c>
      <c r="F13" s="38"/>
      <c r="G13" s="5">
        <v>7</v>
      </c>
      <c r="H13" s="31">
        <v>4</v>
      </c>
      <c r="I13" s="41">
        <v>6</v>
      </c>
      <c r="J13" s="36">
        <v>5</v>
      </c>
      <c r="K13" s="45">
        <v>5</v>
      </c>
      <c r="L13" s="36">
        <v>8</v>
      </c>
      <c r="M13" s="31">
        <v>4</v>
      </c>
      <c r="N13" s="41">
        <v>9</v>
      </c>
      <c r="O13" s="268">
        <f t="shared" si="2"/>
        <v>6</v>
      </c>
      <c r="P13" s="325">
        <f t="shared" si="0"/>
        <v>6</v>
      </c>
      <c r="Q13" s="36"/>
      <c r="R13" s="31">
        <v>3</v>
      </c>
      <c r="S13" s="45">
        <v>6</v>
      </c>
      <c r="T13" s="36">
        <v>7</v>
      </c>
      <c r="U13" s="45">
        <v>6</v>
      </c>
      <c r="V13" s="36">
        <v>9</v>
      </c>
      <c r="W13" s="45">
        <v>6</v>
      </c>
      <c r="X13" s="36"/>
      <c r="Y13" s="49">
        <v>6</v>
      </c>
      <c r="Z13" s="49">
        <v>3</v>
      </c>
      <c r="AA13" s="49">
        <v>3</v>
      </c>
      <c r="AB13" s="31">
        <v>9</v>
      </c>
      <c r="AC13" s="45">
        <v>8</v>
      </c>
      <c r="AD13" s="36"/>
      <c r="AE13" s="43">
        <v>6</v>
      </c>
      <c r="AF13" s="41">
        <v>6</v>
      </c>
      <c r="AG13" s="335">
        <f t="shared" si="3"/>
        <v>6</v>
      </c>
      <c r="AH13" s="325">
        <f t="shared" si="1"/>
        <v>6</v>
      </c>
      <c r="AI13" s="183">
        <f t="shared" si="4"/>
        <v>6</v>
      </c>
    </row>
    <row r="14" spans="1:35" ht="12.75">
      <c r="A14" s="3">
        <f t="shared" si="5"/>
        <v>5.555555555555555</v>
      </c>
      <c r="B14" s="2">
        <v>12</v>
      </c>
      <c r="C14" s="2" t="s">
        <v>124</v>
      </c>
      <c r="D14" s="38"/>
      <c r="E14" s="94">
        <v>2</v>
      </c>
      <c r="F14" s="38"/>
      <c r="G14" s="5">
        <v>5</v>
      </c>
      <c r="H14" s="85">
        <v>6</v>
      </c>
      <c r="I14" s="82">
        <v>7</v>
      </c>
      <c r="J14" s="161">
        <v>4</v>
      </c>
      <c r="K14" s="45">
        <v>6</v>
      </c>
      <c r="L14" s="36"/>
      <c r="M14" s="31">
        <v>4</v>
      </c>
      <c r="N14" s="41">
        <v>3</v>
      </c>
      <c r="O14" s="268">
        <f t="shared" si="2"/>
        <v>4.625</v>
      </c>
      <c r="P14" s="325">
        <f t="shared" si="0"/>
        <v>5</v>
      </c>
      <c r="Q14" s="36"/>
      <c r="R14" s="31">
        <v>4</v>
      </c>
      <c r="S14" s="45">
        <v>4</v>
      </c>
      <c r="T14" s="36"/>
      <c r="U14" s="45">
        <v>7</v>
      </c>
      <c r="V14" s="36">
        <v>6</v>
      </c>
      <c r="W14" s="45">
        <v>6</v>
      </c>
      <c r="X14" s="36"/>
      <c r="Y14" s="299" t="s">
        <v>74</v>
      </c>
      <c r="Z14" s="299" t="s">
        <v>74</v>
      </c>
      <c r="AA14" s="299" t="s">
        <v>74</v>
      </c>
      <c r="AB14" s="31">
        <v>8</v>
      </c>
      <c r="AC14" s="45">
        <v>8</v>
      </c>
      <c r="AD14" s="36"/>
      <c r="AE14" s="43">
        <v>3</v>
      </c>
      <c r="AF14" s="41">
        <v>4</v>
      </c>
      <c r="AG14" s="335">
        <f t="shared" si="3"/>
        <v>5.555555555555555</v>
      </c>
      <c r="AH14" s="325">
        <f t="shared" si="1"/>
        <v>6</v>
      </c>
      <c r="AI14" s="183">
        <f t="shared" si="4"/>
        <v>5.5</v>
      </c>
    </row>
    <row r="15" spans="1:35" ht="12.75">
      <c r="A15" s="3">
        <f t="shared" si="5"/>
        <v>2.7142857142857144</v>
      </c>
      <c r="B15" s="2">
        <v>13</v>
      </c>
      <c r="C15" s="2" t="s">
        <v>125</v>
      </c>
      <c r="D15" s="38"/>
      <c r="E15" s="94">
        <v>1</v>
      </c>
      <c r="F15" s="38"/>
      <c r="G15" s="5">
        <v>3</v>
      </c>
      <c r="H15" s="219">
        <v>1</v>
      </c>
      <c r="I15" s="82">
        <v>4</v>
      </c>
      <c r="J15" s="161">
        <v>1</v>
      </c>
      <c r="K15" s="94">
        <v>5</v>
      </c>
      <c r="L15" s="36"/>
      <c r="M15" s="31">
        <v>7</v>
      </c>
      <c r="N15" s="146">
        <v>3</v>
      </c>
      <c r="O15" s="268">
        <f t="shared" si="2"/>
        <v>3.125</v>
      </c>
      <c r="P15" s="325">
        <f t="shared" si="0"/>
        <v>3</v>
      </c>
      <c r="Q15" s="36"/>
      <c r="R15" s="135">
        <v>2</v>
      </c>
      <c r="S15" s="326" t="s">
        <v>74</v>
      </c>
      <c r="T15" s="36">
        <v>1</v>
      </c>
      <c r="U15" s="326" t="s">
        <v>74</v>
      </c>
      <c r="V15" s="329" t="s">
        <v>74</v>
      </c>
      <c r="W15" s="94">
        <v>2</v>
      </c>
      <c r="X15" s="36"/>
      <c r="Y15" s="299">
        <v>5</v>
      </c>
      <c r="Z15" s="299" t="s">
        <v>74</v>
      </c>
      <c r="AA15" s="299" t="s">
        <v>74</v>
      </c>
      <c r="AB15" s="252" t="s">
        <v>74</v>
      </c>
      <c r="AC15" s="94">
        <v>2</v>
      </c>
      <c r="AD15" s="36"/>
      <c r="AE15" s="43">
        <v>3</v>
      </c>
      <c r="AF15" s="146">
        <v>4</v>
      </c>
      <c r="AG15" s="335">
        <f t="shared" si="3"/>
        <v>2.7142857142857144</v>
      </c>
      <c r="AH15" s="325">
        <f t="shared" si="1"/>
        <v>3</v>
      </c>
      <c r="AI15" s="183">
        <f t="shared" si="4"/>
        <v>3</v>
      </c>
    </row>
    <row r="16" spans="1:35" ht="12.75">
      <c r="A16" s="356">
        <f t="shared" si="5"/>
        <v>5.769230769230769</v>
      </c>
      <c r="B16" s="2">
        <v>14</v>
      </c>
      <c r="C16" s="2" t="s">
        <v>140</v>
      </c>
      <c r="D16" s="38"/>
      <c r="E16" s="94">
        <v>3</v>
      </c>
      <c r="F16" s="38">
        <v>8</v>
      </c>
      <c r="G16" s="5">
        <v>5</v>
      </c>
      <c r="H16" s="31">
        <v>6</v>
      </c>
      <c r="I16" s="82">
        <v>3</v>
      </c>
      <c r="J16" s="161">
        <v>6</v>
      </c>
      <c r="K16" s="45">
        <v>6</v>
      </c>
      <c r="L16" s="36">
        <v>9</v>
      </c>
      <c r="M16" s="31">
        <v>4</v>
      </c>
      <c r="N16" s="41">
        <v>6</v>
      </c>
      <c r="O16" s="268">
        <f t="shared" si="2"/>
        <v>5.6</v>
      </c>
      <c r="P16" s="325">
        <f t="shared" si="0"/>
        <v>6</v>
      </c>
      <c r="Q16" s="36"/>
      <c r="R16" s="31">
        <v>5</v>
      </c>
      <c r="S16" s="94">
        <v>5</v>
      </c>
      <c r="T16" s="36">
        <v>7</v>
      </c>
      <c r="U16" s="45">
        <v>4</v>
      </c>
      <c r="V16" s="36">
        <v>9</v>
      </c>
      <c r="W16" s="94">
        <v>6</v>
      </c>
      <c r="X16" s="36"/>
      <c r="Y16" s="49">
        <v>7</v>
      </c>
      <c r="Z16" s="49">
        <v>4</v>
      </c>
      <c r="AA16" s="49">
        <v>4</v>
      </c>
      <c r="AB16" s="31">
        <v>9</v>
      </c>
      <c r="AC16" s="45">
        <v>4</v>
      </c>
      <c r="AD16" s="36"/>
      <c r="AE16" s="43">
        <v>4</v>
      </c>
      <c r="AF16" s="41">
        <v>7</v>
      </c>
      <c r="AG16" s="335">
        <f t="shared" si="3"/>
        <v>5.769230769230769</v>
      </c>
      <c r="AH16" s="325">
        <f t="shared" si="1"/>
        <v>6</v>
      </c>
      <c r="AI16" s="183">
        <f t="shared" si="4"/>
        <v>6</v>
      </c>
    </row>
    <row r="17" spans="1:35" ht="12.75">
      <c r="A17" s="3">
        <f t="shared" si="5"/>
        <v>3.5</v>
      </c>
      <c r="B17" s="2">
        <v>15</v>
      </c>
      <c r="C17" s="2" t="s">
        <v>132</v>
      </c>
      <c r="D17" s="38"/>
      <c r="E17" s="94">
        <v>5</v>
      </c>
      <c r="F17" s="38">
        <v>1</v>
      </c>
      <c r="G17" s="5">
        <v>5</v>
      </c>
      <c r="H17" s="85">
        <v>4</v>
      </c>
      <c r="I17" s="82">
        <v>5</v>
      </c>
      <c r="J17" s="220" t="s">
        <v>74</v>
      </c>
      <c r="K17" s="45">
        <v>3</v>
      </c>
      <c r="L17" s="36"/>
      <c r="M17" s="31">
        <v>4</v>
      </c>
      <c r="N17" s="41">
        <v>5</v>
      </c>
      <c r="O17" s="268">
        <f t="shared" si="2"/>
        <v>4</v>
      </c>
      <c r="P17" s="325">
        <f t="shared" si="0"/>
        <v>4</v>
      </c>
      <c r="Q17" s="36"/>
      <c r="R17" s="31">
        <v>5</v>
      </c>
      <c r="S17" s="94">
        <v>2</v>
      </c>
      <c r="T17" s="36">
        <v>1</v>
      </c>
      <c r="U17" s="45">
        <v>6</v>
      </c>
      <c r="V17" s="36">
        <v>3</v>
      </c>
      <c r="W17" s="45">
        <v>4</v>
      </c>
      <c r="X17" s="36">
        <v>1</v>
      </c>
      <c r="Y17" s="49">
        <v>5</v>
      </c>
      <c r="Z17" s="299">
        <v>1</v>
      </c>
      <c r="AA17" s="299">
        <v>1</v>
      </c>
      <c r="AB17" s="31">
        <v>3</v>
      </c>
      <c r="AC17" s="45">
        <v>6</v>
      </c>
      <c r="AD17" s="36"/>
      <c r="AE17" s="43">
        <v>5</v>
      </c>
      <c r="AF17" s="146">
        <v>6</v>
      </c>
      <c r="AG17" s="335">
        <f t="shared" si="3"/>
        <v>3.5</v>
      </c>
      <c r="AH17" s="325">
        <f t="shared" si="1"/>
        <v>4</v>
      </c>
      <c r="AI17" s="183">
        <f t="shared" si="4"/>
        <v>4</v>
      </c>
    </row>
    <row r="18" spans="1:35" ht="12.75">
      <c r="A18" s="3">
        <f t="shared" si="5"/>
        <v>3.5</v>
      </c>
      <c r="B18" s="2">
        <v>16</v>
      </c>
      <c r="C18" s="2" t="s">
        <v>151</v>
      </c>
      <c r="D18" s="38"/>
      <c r="E18" s="94">
        <v>3</v>
      </c>
      <c r="F18" s="38"/>
      <c r="G18" s="5">
        <v>3</v>
      </c>
      <c r="H18" s="85">
        <v>8</v>
      </c>
      <c r="I18" s="203">
        <v>1</v>
      </c>
      <c r="J18" s="36">
        <v>4</v>
      </c>
      <c r="K18" s="94">
        <v>5</v>
      </c>
      <c r="L18" s="36"/>
      <c r="M18" s="252" t="s">
        <v>74</v>
      </c>
      <c r="N18" s="41">
        <v>9</v>
      </c>
      <c r="O18" s="268">
        <f t="shared" si="2"/>
        <v>4.714285714285714</v>
      </c>
      <c r="P18" s="325">
        <f t="shared" si="0"/>
        <v>5</v>
      </c>
      <c r="Q18" s="36"/>
      <c r="R18" s="31">
        <v>4</v>
      </c>
      <c r="S18" s="94">
        <v>2</v>
      </c>
      <c r="T18" s="36">
        <v>1</v>
      </c>
      <c r="U18" s="45">
        <v>3</v>
      </c>
      <c r="V18" s="36">
        <v>5</v>
      </c>
      <c r="W18" s="94">
        <v>4</v>
      </c>
      <c r="X18" s="36">
        <v>1</v>
      </c>
      <c r="Y18" s="299">
        <v>4</v>
      </c>
      <c r="Z18" s="299">
        <v>1</v>
      </c>
      <c r="AA18" s="299">
        <v>1</v>
      </c>
      <c r="AB18" s="31">
        <v>9</v>
      </c>
      <c r="AC18" s="45">
        <v>5</v>
      </c>
      <c r="AD18" s="36"/>
      <c r="AE18" s="43">
        <v>4</v>
      </c>
      <c r="AF18" s="41">
        <v>5</v>
      </c>
      <c r="AG18" s="335">
        <f t="shared" si="3"/>
        <v>3.5</v>
      </c>
      <c r="AH18" s="325">
        <f t="shared" si="1"/>
        <v>4</v>
      </c>
      <c r="AI18" s="183">
        <f t="shared" si="4"/>
        <v>4.5</v>
      </c>
    </row>
    <row r="19" spans="1:35" ht="12.75">
      <c r="A19" s="356">
        <f t="shared" si="5"/>
        <v>6.6923076923076925</v>
      </c>
      <c r="B19" s="2">
        <v>17</v>
      </c>
      <c r="C19" s="2" t="s">
        <v>126</v>
      </c>
      <c r="D19" s="38"/>
      <c r="E19" s="94">
        <v>6</v>
      </c>
      <c r="F19" s="38"/>
      <c r="G19" s="5">
        <v>5</v>
      </c>
      <c r="H19" s="85">
        <v>6</v>
      </c>
      <c r="I19" s="82">
        <v>7</v>
      </c>
      <c r="J19" s="36">
        <v>6</v>
      </c>
      <c r="K19" s="45">
        <v>6</v>
      </c>
      <c r="L19" s="36"/>
      <c r="M19" s="31">
        <v>4</v>
      </c>
      <c r="N19" s="41">
        <v>7</v>
      </c>
      <c r="O19" s="268">
        <f t="shared" si="2"/>
        <v>5.875</v>
      </c>
      <c r="P19" s="325">
        <f t="shared" si="0"/>
        <v>6</v>
      </c>
      <c r="Q19" s="36"/>
      <c r="R19" s="31">
        <v>5</v>
      </c>
      <c r="S19" s="45">
        <v>7</v>
      </c>
      <c r="T19" s="36"/>
      <c r="U19" s="45">
        <v>8</v>
      </c>
      <c r="V19" s="36">
        <v>9</v>
      </c>
      <c r="W19" s="45">
        <v>6</v>
      </c>
      <c r="X19" s="36">
        <v>9</v>
      </c>
      <c r="Y19" s="299">
        <v>7</v>
      </c>
      <c r="Z19" s="299">
        <v>2</v>
      </c>
      <c r="AA19" s="299">
        <v>4</v>
      </c>
      <c r="AB19" s="31">
        <v>8</v>
      </c>
      <c r="AC19" s="45">
        <v>9</v>
      </c>
      <c r="AD19" s="36"/>
      <c r="AE19" s="43">
        <v>4</v>
      </c>
      <c r="AF19" s="41">
        <v>9</v>
      </c>
      <c r="AG19" s="335">
        <f t="shared" si="3"/>
        <v>6.6923076923076925</v>
      </c>
      <c r="AH19" s="325">
        <f t="shared" si="1"/>
        <v>7</v>
      </c>
      <c r="AI19" s="183">
        <f t="shared" si="4"/>
        <v>6.5</v>
      </c>
    </row>
    <row r="20" spans="1:35" ht="12.75">
      <c r="A20" s="356">
        <f t="shared" si="5"/>
        <v>7.25</v>
      </c>
      <c r="B20" s="2">
        <v>18</v>
      </c>
      <c r="C20" s="2" t="s">
        <v>152</v>
      </c>
      <c r="D20" s="38">
        <v>9</v>
      </c>
      <c r="E20" s="45">
        <v>3</v>
      </c>
      <c r="F20" s="38">
        <v>8</v>
      </c>
      <c r="G20" s="5">
        <v>5</v>
      </c>
      <c r="H20" s="31">
        <v>5</v>
      </c>
      <c r="I20" s="41">
        <v>5</v>
      </c>
      <c r="J20" s="36">
        <v>8</v>
      </c>
      <c r="K20" s="45">
        <v>5</v>
      </c>
      <c r="L20" s="36"/>
      <c r="M20" s="31">
        <v>4</v>
      </c>
      <c r="N20" s="41">
        <v>6</v>
      </c>
      <c r="O20" s="268">
        <f t="shared" si="2"/>
        <v>5.8</v>
      </c>
      <c r="P20" s="325">
        <f t="shared" si="0"/>
        <v>6</v>
      </c>
      <c r="Q20" s="36"/>
      <c r="R20" s="31">
        <v>8</v>
      </c>
      <c r="S20" s="45">
        <v>8</v>
      </c>
      <c r="T20" s="36"/>
      <c r="U20" s="45">
        <v>7</v>
      </c>
      <c r="V20" s="36">
        <v>8</v>
      </c>
      <c r="W20" s="45">
        <v>7</v>
      </c>
      <c r="X20" s="36"/>
      <c r="Y20" s="49">
        <v>7</v>
      </c>
      <c r="Z20" s="299">
        <v>6</v>
      </c>
      <c r="AA20" s="49">
        <v>7</v>
      </c>
      <c r="AB20" s="31">
        <v>9</v>
      </c>
      <c r="AC20" s="45">
        <v>7</v>
      </c>
      <c r="AD20" s="36"/>
      <c r="AE20" s="232">
        <v>6</v>
      </c>
      <c r="AF20" s="41">
        <v>7</v>
      </c>
      <c r="AG20" s="335">
        <f t="shared" si="3"/>
        <v>7.25</v>
      </c>
      <c r="AH20" s="325">
        <v>8</v>
      </c>
      <c r="AI20" s="183">
        <f t="shared" si="4"/>
        <v>7</v>
      </c>
    </row>
    <row r="21" spans="1:35" ht="12.75">
      <c r="A21" s="3">
        <f t="shared" si="5"/>
        <v>6.230769230769231</v>
      </c>
      <c r="B21" s="2">
        <v>19</v>
      </c>
      <c r="C21" s="2" t="s">
        <v>136</v>
      </c>
      <c r="D21" s="38"/>
      <c r="E21" s="94">
        <v>6</v>
      </c>
      <c r="F21" s="38"/>
      <c r="G21" s="135" t="s">
        <v>74</v>
      </c>
      <c r="H21" s="85">
        <v>4</v>
      </c>
      <c r="I21" s="203">
        <v>6</v>
      </c>
      <c r="J21" s="36">
        <v>7</v>
      </c>
      <c r="K21" s="45">
        <v>3</v>
      </c>
      <c r="L21" s="36"/>
      <c r="M21" s="31">
        <v>4</v>
      </c>
      <c r="N21" s="41">
        <v>6</v>
      </c>
      <c r="O21" s="268">
        <f t="shared" si="2"/>
        <v>5.142857142857143</v>
      </c>
      <c r="P21" s="325">
        <f t="shared" si="0"/>
        <v>5</v>
      </c>
      <c r="Q21" s="36"/>
      <c r="R21" s="31">
        <v>6</v>
      </c>
      <c r="S21" s="45">
        <v>7</v>
      </c>
      <c r="T21" s="36"/>
      <c r="U21" s="45">
        <v>7</v>
      </c>
      <c r="V21" s="36">
        <v>8</v>
      </c>
      <c r="W21" s="45">
        <v>8</v>
      </c>
      <c r="X21" s="36">
        <v>7</v>
      </c>
      <c r="Y21" s="299">
        <v>5</v>
      </c>
      <c r="Z21" s="299">
        <v>1</v>
      </c>
      <c r="AA21" s="299">
        <v>4</v>
      </c>
      <c r="AB21" s="31">
        <v>8</v>
      </c>
      <c r="AC21" s="45">
        <v>7</v>
      </c>
      <c r="AD21" s="36"/>
      <c r="AE21" s="43">
        <v>6</v>
      </c>
      <c r="AF21" s="41">
        <v>7</v>
      </c>
      <c r="AG21" s="335">
        <f t="shared" si="3"/>
        <v>6.230769230769231</v>
      </c>
      <c r="AH21" s="325">
        <f t="shared" si="1"/>
        <v>6</v>
      </c>
      <c r="AI21" s="183">
        <f t="shared" si="4"/>
        <v>5.5</v>
      </c>
    </row>
    <row r="22" spans="1:35" ht="12.75">
      <c r="A22" s="3">
        <f t="shared" si="5"/>
        <v>6</v>
      </c>
      <c r="B22" s="2">
        <v>20</v>
      </c>
      <c r="C22" s="2" t="s">
        <v>142</v>
      </c>
      <c r="D22" s="38"/>
      <c r="E22" s="94">
        <v>3</v>
      </c>
      <c r="F22" s="38">
        <v>9</v>
      </c>
      <c r="G22" s="5">
        <v>4</v>
      </c>
      <c r="H22" s="31">
        <v>5</v>
      </c>
      <c r="I22" s="41">
        <v>7</v>
      </c>
      <c r="J22" s="36">
        <v>6</v>
      </c>
      <c r="K22" s="94">
        <v>4</v>
      </c>
      <c r="L22" s="36"/>
      <c r="M22" s="31">
        <v>4</v>
      </c>
      <c r="N22" s="41">
        <v>7</v>
      </c>
      <c r="O22" s="268">
        <f t="shared" si="2"/>
        <v>5.444444444444445</v>
      </c>
      <c r="P22" s="325">
        <v>6</v>
      </c>
      <c r="Q22" s="36"/>
      <c r="R22" s="135">
        <v>7</v>
      </c>
      <c r="S22" s="94">
        <v>6</v>
      </c>
      <c r="T22" s="36">
        <v>6</v>
      </c>
      <c r="U22" s="45">
        <v>6</v>
      </c>
      <c r="V22" s="36">
        <v>7</v>
      </c>
      <c r="W22" s="45">
        <v>7</v>
      </c>
      <c r="X22" s="36">
        <v>6</v>
      </c>
      <c r="Y22" s="299">
        <v>6</v>
      </c>
      <c r="Z22" s="299">
        <v>2</v>
      </c>
      <c r="AA22" s="299">
        <v>5</v>
      </c>
      <c r="AB22" s="31">
        <v>6</v>
      </c>
      <c r="AC22" s="45">
        <v>7</v>
      </c>
      <c r="AD22" s="36"/>
      <c r="AE22" s="43">
        <v>7</v>
      </c>
      <c r="AF22" s="247" t="s">
        <v>74</v>
      </c>
      <c r="AG22" s="335">
        <f t="shared" si="3"/>
        <v>6</v>
      </c>
      <c r="AH22" s="325">
        <f t="shared" si="1"/>
        <v>6</v>
      </c>
      <c r="AI22" s="183">
        <f t="shared" si="4"/>
        <v>6</v>
      </c>
    </row>
    <row r="23" spans="1:35" ht="12.75">
      <c r="A23" s="3">
        <f t="shared" si="5"/>
        <v>4.3076923076923075</v>
      </c>
      <c r="B23" s="2">
        <v>21</v>
      </c>
      <c r="C23" s="2" t="s">
        <v>131</v>
      </c>
      <c r="D23" s="38"/>
      <c r="E23" s="94">
        <v>5</v>
      </c>
      <c r="F23" s="36">
        <v>6</v>
      </c>
      <c r="G23" s="5">
        <v>7</v>
      </c>
      <c r="H23" s="31">
        <v>4</v>
      </c>
      <c r="I23" s="41">
        <v>5</v>
      </c>
      <c r="J23" s="36">
        <v>6</v>
      </c>
      <c r="K23" s="45">
        <v>5</v>
      </c>
      <c r="L23" s="36"/>
      <c r="M23" s="31">
        <v>6</v>
      </c>
      <c r="N23" s="41">
        <v>6</v>
      </c>
      <c r="O23" s="268">
        <f t="shared" si="2"/>
        <v>5.555555555555555</v>
      </c>
      <c r="P23" s="325">
        <f t="shared" si="0"/>
        <v>6</v>
      </c>
      <c r="Q23" s="36"/>
      <c r="R23" s="31">
        <v>4</v>
      </c>
      <c r="S23" s="45">
        <v>4</v>
      </c>
      <c r="T23" s="36">
        <v>1</v>
      </c>
      <c r="U23" s="94">
        <v>4</v>
      </c>
      <c r="V23" s="161">
        <v>2</v>
      </c>
      <c r="W23" s="45">
        <v>7</v>
      </c>
      <c r="X23" s="36"/>
      <c r="Y23" s="299">
        <v>7</v>
      </c>
      <c r="Z23" s="299">
        <v>1</v>
      </c>
      <c r="AA23" s="299">
        <v>1</v>
      </c>
      <c r="AB23" s="31">
        <v>9</v>
      </c>
      <c r="AC23" s="45">
        <v>4</v>
      </c>
      <c r="AD23" s="36"/>
      <c r="AE23" s="43">
        <v>7</v>
      </c>
      <c r="AF23" s="41">
        <v>5</v>
      </c>
      <c r="AG23" s="335">
        <f t="shared" si="3"/>
        <v>4.3076923076923075</v>
      </c>
      <c r="AH23" s="325">
        <f t="shared" si="1"/>
        <v>4</v>
      </c>
      <c r="AI23" s="183">
        <f t="shared" si="4"/>
        <v>5</v>
      </c>
    </row>
    <row r="24" spans="1:35" ht="12.75">
      <c r="A24" s="356">
        <f t="shared" si="5"/>
        <v>6.083333333333333</v>
      </c>
      <c r="B24" s="2">
        <v>22</v>
      </c>
      <c r="C24" s="2" t="s">
        <v>135</v>
      </c>
      <c r="D24" s="38"/>
      <c r="E24" s="94">
        <v>3</v>
      </c>
      <c r="F24" s="38"/>
      <c r="G24" s="5">
        <v>6</v>
      </c>
      <c r="H24" s="85">
        <v>9</v>
      </c>
      <c r="I24" s="82">
        <v>7</v>
      </c>
      <c r="J24" s="36">
        <v>6</v>
      </c>
      <c r="K24" s="45">
        <v>5</v>
      </c>
      <c r="L24" s="36"/>
      <c r="M24" s="31">
        <v>4</v>
      </c>
      <c r="N24" s="41">
        <v>7</v>
      </c>
      <c r="O24" s="268">
        <f t="shared" si="2"/>
        <v>5.875</v>
      </c>
      <c r="P24" s="325">
        <f t="shared" si="0"/>
        <v>6</v>
      </c>
      <c r="Q24" s="36"/>
      <c r="R24" s="31">
        <v>4</v>
      </c>
      <c r="S24" s="45">
        <v>6</v>
      </c>
      <c r="T24" s="36"/>
      <c r="U24" s="45">
        <v>7</v>
      </c>
      <c r="V24" s="36">
        <v>8</v>
      </c>
      <c r="W24" s="94">
        <v>6</v>
      </c>
      <c r="X24" s="36"/>
      <c r="Y24" s="49">
        <v>7</v>
      </c>
      <c r="Z24" s="299">
        <v>3</v>
      </c>
      <c r="AA24" s="49">
        <v>4</v>
      </c>
      <c r="AB24" s="31">
        <v>9</v>
      </c>
      <c r="AC24" s="45">
        <v>7</v>
      </c>
      <c r="AD24" s="36"/>
      <c r="AE24" s="43">
        <v>5</v>
      </c>
      <c r="AF24" s="146">
        <v>7</v>
      </c>
      <c r="AG24" s="335">
        <f t="shared" si="3"/>
        <v>6.083333333333333</v>
      </c>
      <c r="AH24" s="325">
        <f t="shared" si="1"/>
        <v>6</v>
      </c>
      <c r="AI24" s="183">
        <f t="shared" si="4"/>
        <v>6</v>
      </c>
    </row>
    <row r="25" spans="1:35" ht="12.75">
      <c r="A25" s="3">
        <f t="shared" si="5"/>
        <v>3.9</v>
      </c>
      <c r="B25" s="2">
        <v>23</v>
      </c>
      <c r="C25" s="2" t="s">
        <v>127</v>
      </c>
      <c r="D25" s="38"/>
      <c r="E25" s="63">
        <v>4</v>
      </c>
      <c r="F25" s="38">
        <v>7</v>
      </c>
      <c r="G25" s="5">
        <v>3</v>
      </c>
      <c r="H25" s="85">
        <v>9</v>
      </c>
      <c r="I25" s="203">
        <v>1</v>
      </c>
      <c r="J25" s="161">
        <v>5</v>
      </c>
      <c r="K25" s="45">
        <v>4</v>
      </c>
      <c r="L25" s="36"/>
      <c r="M25" s="31">
        <v>7</v>
      </c>
      <c r="N25" s="41">
        <v>6</v>
      </c>
      <c r="O25" s="268">
        <f t="shared" si="2"/>
        <v>5.111111111111111</v>
      </c>
      <c r="P25" s="325">
        <f t="shared" si="0"/>
        <v>5</v>
      </c>
      <c r="Q25" s="36">
        <v>7</v>
      </c>
      <c r="R25" s="135">
        <v>6</v>
      </c>
      <c r="S25" s="94">
        <v>4</v>
      </c>
      <c r="T25" s="36"/>
      <c r="U25" s="94">
        <v>2</v>
      </c>
      <c r="V25" s="329" t="s">
        <v>74</v>
      </c>
      <c r="W25" s="45">
        <v>4</v>
      </c>
      <c r="X25" s="36"/>
      <c r="Y25" s="49">
        <v>5</v>
      </c>
      <c r="Z25" s="299">
        <v>1</v>
      </c>
      <c r="AA25" s="299">
        <v>1</v>
      </c>
      <c r="AB25" s="31">
        <v>6</v>
      </c>
      <c r="AC25" s="326" t="s">
        <v>74</v>
      </c>
      <c r="AD25" s="36"/>
      <c r="AE25" s="43">
        <v>3</v>
      </c>
      <c r="AF25" s="247" t="s">
        <v>74</v>
      </c>
      <c r="AG25" s="335">
        <f t="shared" si="3"/>
        <v>3.9</v>
      </c>
      <c r="AH25" s="325">
        <f t="shared" si="1"/>
        <v>4</v>
      </c>
      <c r="AI25" s="183">
        <f t="shared" si="4"/>
        <v>4.5</v>
      </c>
    </row>
    <row r="26" spans="1:35" ht="12.75">
      <c r="A26" s="3">
        <f t="shared" si="5"/>
        <v>4.5</v>
      </c>
      <c r="B26" s="2">
        <v>24</v>
      </c>
      <c r="C26" s="2" t="s">
        <v>134</v>
      </c>
      <c r="D26" s="38"/>
      <c r="E26" s="94">
        <v>5</v>
      </c>
      <c r="F26" s="38"/>
      <c r="G26" s="5">
        <v>5</v>
      </c>
      <c r="H26" s="31">
        <v>5</v>
      </c>
      <c r="I26" s="41">
        <v>4</v>
      </c>
      <c r="J26" s="36">
        <v>3</v>
      </c>
      <c r="K26" s="45">
        <v>4</v>
      </c>
      <c r="L26" s="36">
        <v>4</v>
      </c>
      <c r="M26" s="31">
        <v>4</v>
      </c>
      <c r="N26" s="41">
        <v>5</v>
      </c>
      <c r="O26" s="268">
        <f t="shared" si="2"/>
        <v>4.333333333333333</v>
      </c>
      <c r="P26" s="325">
        <v>5</v>
      </c>
      <c r="Q26" s="36"/>
      <c r="R26" s="135">
        <v>6</v>
      </c>
      <c r="S26" s="45">
        <v>3</v>
      </c>
      <c r="T26" s="36"/>
      <c r="U26" s="45">
        <v>9</v>
      </c>
      <c r="V26" s="36">
        <v>5</v>
      </c>
      <c r="W26" s="94">
        <v>4</v>
      </c>
      <c r="X26" s="36"/>
      <c r="Y26" s="49">
        <v>6</v>
      </c>
      <c r="Z26" s="299">
        <v>1</v>
      </c>
      <c r="AA26" s="299">
        <v>1</v>
      </c>
      <c r="AB26" s="31">
        <v>6</v>
      </c>
      <c r="AC26" s="45">
        <v>4</v>
      </c>
      <c r="AD26" s="36"/>
      <c r="AE26" s="43">
        <v>5</v>
      </c>
      <c r="AF26" s="41">
        <v>4</v>
      </c>
      <c r="AG26" s="335">
        <f t="shared" si="3"/>
        <v>4.5</v>
      </c>
      <c r="AH26" s="325">
        <f t="shared" si="1"/>
        <v>5</v>
      </c>
      <c r="AI26" s="183">
        <f t="shared" si="4"/>
        <v>5</v>
      </c>
    </row>
    <row r="27" spans="1:35" ht="12.75">
      <c r="A27" s="3">
        <f t="shared" si="5"/>
        <v>4</v>
      </c>
      <c r="B27" s="2">
        <v>25</v>
      </c>
      <c r="C27" s="2" t="s">
        <v>153</v>
      </c>
      <c r="D27" s="38"/>
      <c r="E27" s="94">
        <v>3</v>
      </c>
      <c r="F27" s="38"/>
      <c r="G27" s="5">
        <v>7</v>
      </c>
      <c r="H27" s="31">
        <v>6</v>
      </c>
      <c r="I27" s="41">
        <v>7</v>
      </c>
      <c r="J27" s="36">
        <v>4</v>
      </c>
      <c r="K27" s="45">
        <v>5</v>
      </c>
      <c r="L27" s="36"/>
      <c r="M27" s="252" t="s">
        <v>74</v>
      </c>
      <c r="N27" s="41">
        <v>6</v>
      </c>
      <c r="O27" s="268">
        <f t="shared" si="2"/>
        <v>5.428571428571429</v>
      </c>
      <c r="P27" s="325">
        <f t="shared" si="0"/>
        <v>5</v>
      </c>
      <c r="Q27" s="36"/>
      <c r="R27" s="31">
        <v>3</v>
      </c>
      <c r="S27" s="45">
        <v>6</v>
      </c>
      <c r="T27" s="36">
        <v>1</v>
      </c>
      <c r="U27" s="45">
        <v>3</v>
      </c>
      <c r="V27" s="36">
        <v>4</v>
      </c>
      <c r="W27" s="94">
        <v>5</v>
      </c>
      <c r="X27" s="36">
        <v>1</v>
      </c>
      <c r="Y27" s="49">
        <v>5</v>
      </c>
      <c r="Z27" s="299">
        <v>1</v>
      </c>
      <c r="AA27" s="299">
        <v>4</v>
      </c>
      <c r="AB27" s="31">
        <v>8</v>
      </c>
      <c r="AC27" s="45">
        <v>6</v>
      </c>
      <c r="AD27" s="36"/>
      <c r="AE27" s="43">
        <v>5</v>
      </c>
      <c r="AF27" s="41">
        <v>4</v>
      </c>
      <c r="AG27" s="335">
        <f t="shared" si="3"/>
        <v>4</v>
      </c>
      <c r="AH27" s="325">
        <f t="shared" si="1"/>
        <v>4</v>
      </c>
      <c r="AI27" s="183">
        <f t="shared" si="4"/>
        <v>4.5</v>
      </c>
    </row>
    <row r="28" spans="1:35" ht="12.75">
      <c r="A28" s="3">
        <f t="shared" si="5"/>
        <v>3.7857142857142856</v>
      </c>
      <c r="B28" s="2">
        <v>26</v>
      </c>
      <c r="C28" s="14" t="s">
        <v>133</v>
      </c>
      <c r="D28" s="38"/>
      <c r="E28" s="94">
        <v>2</v>
      </c>
      <c r="F28" s="38">
        <v>1</v>
      </c>
      <c r="G28" s="5">
        <v>5</v>
      </c>
      <c r="H28" s="85">
        <v>4</v>
      </c>
      <c r="I28" s="82">
        <v>6</v>
      </c>
      <c r="J28" s="36">
        <v>3</v>
      </c>
      <c r="K28" s="45">
        <v>4</v>
      </c>
      <c r="L28" s="36"/>
      <c r="M28" s="31">
        <v>4</v>
      </c>
      <c r="N28" s="41">
        <v>4</v>
      </c>
      <c r="O28" s="268">
        <f t="shared" si="2"/>
        <v>3.6666666666666665</v>
      </c>
      <c r="P28" s="325">
        <f t="shared" si="0"/>
        <v>4</v>
      </c>
      <c r="Q28" s="36">
        <v>1</v>
      </c>
      <c r="R28" s="135">
        <v>2</v>
      </c>
      <c r="S28" s="45">
        <v>6</v>
      </c>
      <c r="T28" s="36">
        <v>1</v>
      </c>
      <c r="U28" s="45">
        <v>6</v>
      </c>
      <c r="V28" s="36">
        <v>5</v>
      </c>
      <c r="W28" s="94">
        <v>6</v>
      </c>
      <c r="X28" s="36"/>
      <c r="Y28" s="49">
        <v>4</v>
      </c>
      <c r="Z28" s="299">
        <v>3</v>
      </c>
      <c r="AA28" s="299">
        <v>2</v>
      </c>
      <c r="AB28" s="31">
        <v>5</v>
      </c>
      <c r="AC28" s="45">
        <v>4</v>
      </c>
      <c r="AD28" s="36"/>
      <c r="AE28" s="43">
        <v>5</v>
      </c>
      <c r="AF28" s="41">
        <v>3</v>
      </c>
      <c r="AG28" s="335">
        <f t="shared" si="3"/>
        <v>3.7857142857142856</v>
      </c>
      <c r="AH28" s="325">
        <f t="shared" si="1"/>
        <v>4</v>
      </c>
      <c r="AI28" s="183">
        <f t="shared" si="4"/>
        <v>4</v>
      </c>
    </row>
    <row r="29" spans="1:35" ht="13.5" thickBot="1">
      <c r="A29" s="3">
        <f t="shared" si="5"/>
        <v>5</v>
      </c>
      <c r="B29" s="2">
        <v>27</v>
      </c>
      <c r="C29" s="14" t="s">
        <v>130</v>
      </c>
      <c r="D29" s="38"/>
      <c r="E29" s="94">
        <v>3</v>
      </c>
      <c r="F29" s="38"/>
      <c r="G29" s="5">
        <v>3</v>
      </c>
      <c r="H29" s="85">
        <v>5</v>
      </c>
      <c r="I29" s="159" t="s">
        <v>74</v>
      </c>
      <c r="J29" s="239" t="s">
        <v>74</v>
      </c>
      <c r="K29" s="45">
        <v>3</v>
      </c>
      <c r="L29" s="36"/>
      <c r="M29" s="31">
        <v>3</v>
      </c>
      <c r="N29" s="41">
        <v>3</v>
      </c>
      <c r="O29" s="268">
        <f t="shared" si="2"/>
        <v>3.3333333333333335</v>
      </c>
      <c r="P29" s="325">
        <f t="shared" si="0"/>
        <v>3</v>
      </c>
      <c r="Q29" s="36"/>
      <c r="R29" s="31">
        <v>6</v>
      </c>
      <c r="S29" s="45">
        <v>3</v>
      </c>
      <c r="T29" s="332"/>
      <c r="U29" s="353">
        <v>4</v>
      </c>
      <c r="V29" s="36">
        <v>8</v>
      </c>
      <c r="W29" s="45">
        <v>6</v>
      </c>
      <c r="X29" s="36"/>
      <c r="Y29" s="299">
        <v>4</v>
      </c>
      <c r="Z29" s="299">
        <v>1</v>
      </c>
      <c r="AA29" s="299">
        <v>2</v>
      </c>
      <c r="AB29" s="31">
        <v>8</v>
      </c>
      <c r="AC29" s="45">
        <v>5</v>
      </c>
      <c r="AD29" s="36"/>
      <c r="AE29" s="43">
        <v>4</v>
      </c>
      <c r="AF29" s="41">
        <v>9</v>
      </c>
      <c r="AG29" s="335">
        <f t="shared" si="3"/>
        <v>5</v>
      </c>
      <c r="AH29" s="325">
        <f t="shared" si="1"/>
        <v>5</v>
      </c>
      <c r="AI29" s="348">
        <f t="shared" si="4"/>
        <v>4</v>
      </c>
    </row>
    <row r="30" spans="2:35" s="99" customFormat="1" ht="13.5" thickBot="1">
      <c r="B30" s="100"/>
      <c r="C30" s="180" t="s">
        <v>0</v>
      </c>
      <c r="D30" s="101">
        <f>AVERAGE(D3:D29)</f>
        <v>8.5</v>
      </c>
      <c r="E30" s="101">
        <f>AVERAGE(E3:E29)</f>
        <v>3.925925925925926</v>
      </c>
      <c r="F30" s="127">
        <f>AVERAGE(F3:F29)</f>
        <v>5.875</v>
      </c>
      <c r="G30" s="103">
        <f>AVERAGE(G3:G29)</f>
        <v>4.76</v>
      </c>
      <c r="H30" s="103">
        <f aca="true" t="shared" si="6" ref="H30:AI30">AVERAGE(H3:H29)</f>
        <v>5.518518518518518</v>
      </c>
      <c r="I30" s="104">
        <f t="shared" si="6"/>
        <v>5</v>
      </c>
      <c r="J30" s="127">
        <f t="shared" si="6"/>
        <v>4.84</v>
      </c>
      <c r="K30" s="213">
        <f t="shared" si="6"/>
        <v>4.592592592592593</v>
      </c>
      <c r="L30" s="127">
        <f t="shared" si="6"/>
        <v>6.166666666666667</v>
      </c>
      <c r="M30" s="103">
        <f t="shared" si="6"/>
        <v>4.454545454545454</v>
      </c>
      <c r="N30" s="104">
        <f t="shared" si="6"/>
        <v>6.166666666666667</v>
      </c>
      <c r="O30" s="294">
        <f>AVERAGE(O3:O29)</f>
        <v>4.9796443268665485</v>
      </c>
      <c r="P30" s="308">
        <f>AVERAGE(P3:P29)</f>
        <v>5.074074074074074</v>
      </c>
      <c r="Q30" s="127">
        <f t="shared" si="6"/>
        <v>5</v>
      </c>
      <c r="R30" s="103">
        <f t="shared" si="6"/>
        <v>4.925925925925926</v>
      </c>
      <c r="S30" s="213">
        <f t="shared" si="6"/>
        <v>5.32</v>
      </c>
      <c r="T30" s="331">
        <f t="shared" si="6"/>
        <v>3.3333333333333335</v>
      </c>
      <c r="U30" s="344">
        <f t="shared" si="6"/>
        <v>5.653846153846154</v>
      </c>
      <c r="V30" s="127">
        <f t="shared" si="6"/>
        <v>6.333333333333333</v>
      </c>
      <c r="W30" s="213">
        <f t="shared" si="6"/>
        <v>5.592592592592593</v>
      </c>
      <c r="X30" s="127">
        <f t="shared" si="6"/>
        <v>5.333333333333333</v>
      </c>
      <c r="Y30" s="127">
        <f t="shared" si="6"/>
        <v>5.615384615384615</v>
      </c>
      <c r="Z30" s="127">
        <f t="shared" si="6"/>
        <v>2.24</v>
      </c>
      <c r="AA30" s="127">
        <f t="shared" si="6"/>
        <v>3</v>
      </c>
      <c r="AB30" s="127">
        <f t="shared" si="6"/>
        <v>7.769230769230769</v>
      </c>
      <c r="AC30" s="213">
        <f t="shared" si="6"/>
        <v>5.346153846153846</v>
      </c>
      <c r="AD30" s="127">
        <f t="shared" si="6"/>
        <v>9</v>
      </c>
      <c r="AE30" s="127">
        <f t="shared" si="6"/>
        <v>4.518518518518518</v>
      </c>
      <c r="AF30" s="104">
        <f t="shared" si="6"/>
        <v>6.24</v>
      </c>
      <c r="AG30" s="107">
        <f t="shared" si="6"/>
        <v>5.1257766410544185</v>
      </c>
      <c r="AH30" s="108">
        <f t="shared" si="6"/>
        <v>5.37037037037037</v>
      </c>
      <c r="AI30" s="347">
        <f t="shared" si="6"/>
        <v>5.222222222222222</v>
      </c>
    </row>
    <row r="31" spans="2:35" s="99" customFormat="1" ht="13.5" thickBot="1">
      <c r="B31" s="100"/>
      <c r="C31" s="109"/>
      <c r="D31" s="136" t="s">
        <v>197</v>
      </c>
      <c r="E31" s="111" t="s">
        <v>82</v>
      </c>
      <c r="F31" s="110" t="s">
        <v>197</v>
      </c>
      <c r="G31" s="160" t="s">
        <v>198</v>
      </c>
      <c r="H31" s="110" t="s">
        <v>215</v>
      </c>
      <c r="I31" s="112" t="s">
        <v>71</v>
      </c>
      <c r="J31" s="113" t="s">
        <v>273</v>
      </c>
      <c r="K31" s="112" t="s">
        <v>274</v>
      </c>
      <c r="L31" s="112" t="s">
        <v>197</v>
      </c>
      <c r="M31" s="110" t="s">
        <v>297</v>
      </c>
      <c r="N31" s="112" t="s">
        <v>289</v>
      </c>
      <c r="O31" s="116"/>
      <c r="P31" s="117"/>
      <c r="Q31" s="112" t="s">
        <v>197</v>
      </c>
      <c r="R31" s="110" t="s">
        <v>303</v>
      </c>
      <c r="S31" s="110" t="s">
        <v>301</v>
      </c>
      <c r="T31" s="110" t="s">
        <v>197</v>
      </c>
      <c r="U31" s="110" t="s">
        <v>308</v>
      </c>
      <c r="V31" s="110" t="s">
        <v>309</v>
      </c>
      <c r="W31" s="110" t="s">
        <v>372</v>
      </c>
      <c r="X31" s="110" t="s">
        <v>197</v>
      </c>
      <c r="Y31" s="110" t="s">
        <v>380</v>
      </c>
      <c r="Z31" s="110" t="s">
        <v>43</v>
      </c>
      <c r="AA31" s="110" t="s">
        <v>40</v>
      </c>
      <c r="AB31" s="110" t="s">
        <v>377</v>
      </c>
      <c r="AC31" s="110" t="s">
        <v>311</v>
      </c>
      <c r="AD31" s="110" t="s">
        <v>197</v>
      </c>
      <c r="AE31" s="110" t="s">
        <v>379</v>
      </c>
      <c r="AF31" s="112" t="s">
        <v>313</v>
      </c>
      <c r="AG31" s="116"/>
      <c r="AH31" s="117"/>
      <c r="AI31" s="257"/>
    </row>
    <row r="32" spans="2:35" s="118" customFormat="1" ht="13.5" thickBot="1">
      <c r="B32" s="100"/>
      <c r="C32" s="119" t="s">
        <v>32</v>
      </c>
      <c r="D32" s="442" t="s">
        <v>83</v>
      </c>
      <c r="E32" s="441"/>
      <c r="F32" s="442" t="s">
        <v>84</v>
      </c>
      <c r="G32" s="440"/>
      <c r="H32" s="440"/>
      <c r="I32" s="441"/>
      <c r="J32" s="442" t="s">
        <v>272</v>
      </c>
      <c r="K32" s="441"/>
      <c r="L32" s="442" t="s">
        <v>296</v>
      </c>
      <c r="M32" s="440"/>
      <c r="N32" s="441"/>
      <c r="O32" s="120">
        <f>P32/$B$29</f>
        <v>0.9259259259259259</v>
      </c>
      <c r="P32" s="121">
        <f>COUNTIF(P3:P29,"&gt;3")</f>
        <v>25</v>
      </c>
      <c r="Q32" s="442" t="s">
        <v>304</v>
      </c>
      <c r="R32" s="440"/>
      <c r="S32" s="441"/>
      <c r="T32" s="442" t="s">
        <v>364</v>
      </c>
      <c r="U32" s="441"/>
      <c r="V32" s="442" t="s">
        <v>374</v>
      </c>
      <c r="W32" s="441"/>
      <c r="X32" s="442" t="s">
        <v>378</v>
      </c>
      <c r="Y32" s="440"/>
      <c r="Z32" s="440"/>
      <c r="AA32" s="440"/>
      <c r="AB32" s="440"/>
      <c r="AC32" s="441"/>
      <c r="AD32" s="442" t="s">
        <v>375</v>
      </c>
      <c r="AE32" s="440"/>
      <c r="AF32" s="441"/>
      <c r="AG32" s="120">
        <f>AH32/$B$29</f>
        <v>0.9629629629629629</v>
      </c>
      <c r="AH32" s="121">
        <f>COUNTIF(AH3:AH29,"&gt;3")</f>
        <v>26</v>
      </c>
      <c r="AI32" s="257"/>
    </row>
    <row r="33" spans="2:35" s="118" customFormat="1" ht="12.75">
      <c r="B33" s="100"/>
      <c r="C33" s="119" t="s">
        <v>33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0">
        <f>P33/$B$29</f>
        <v>0.37037037037037035</v>
      </c>
      <c r="P33" s="121">
        <f>COUNTIF(P3:P29,"&gt;5")</f>
        <v>10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0">
        <f>AH33/$B$29</f>
        <v>0.1111111111111111</v>
      </c>
      <c r="AH33" s="121">
        <f>COUNTIF(AH3:AH29,"&gt;6")</f>
        <v>3</v>
      </c>
      <c r="AI33" s="257"/>
    </row>
    <row r="35" ht="12.75">
      <c r="C35" t="s">
        <v>275</v>
      </c>
    </row>
  </sheetData>
  <sheetProtection/>
  <mergeCells count="9">
    <mergeCell ref="V32:W32"/>
    <mergeCell ref="X32:AC32"/>
    <mergeCell ref="AD32:AF32"/>
    <mergeCell ref="D32:E32"/>
    <mergeCell ref="F32:I32"/>
    <mergeCell ref="J32:K32"/>
    <mergeCell ref="L32:N32"/>
    <mergeCell ref="Q32:S32"/>
    <mergeCell ref="T32:U32"/>
  </mergeCells>
  <conditionalFormatting sqref="O3:O29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P3:P29">
    <cfRule type="cellIs" priority="9" dxfId="1" operator="lessThan" stopIfTrue="1">
      <formula>2.5</formula>
    </cfRule>
    <cfRule type="cellIs" priority="10" dxfId="0" operator="greaterThanOrEqual" stopIfTrue="1">
      <formula>5.5</formula>
    </cfRule>
  </conditionalFormatting>
  <conditionalFormatting sqref="O30:P30">
    <cfRule type="cellIs" priority="7" dxfId="1" operator="lessThan" stopIfTrue="1">
      <formula>2.5</formula>
    </cfRule>
    <cfRule type="cellIs" priority="8" dxfId="0" operator="greaterThanOrEqual" stopIfTrue="1">
      <formula>5.5</formula>
    </cfRule>
  </conditionalFormatting>
  <conditionalFormatting sqref="AI3:AI29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AG3:AG29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conditionalFormatting sqref="AH3:AH29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2" topLeftCell="R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AJ25" sqref="AJ25"/>
    </sheetView>
  </sheetViews>
  <sheetFormatPr defaultColWidth="9.00390625" defaultRowHeight="12.75"/>
  <cols>
    <col min="1" max="1" width="11.375" style="0" hidden="1" customWidth="1"/>
    <col min="2" max="2" width="3.00390625" style="0" bestFit="1" customWidth="1"/>
    <col min="3" max="3" width="23.125" style="0" customWidth="1"/>
    <col min="4" max="4" width="6.375" style="0" customWidth="1"/>
    <col min="5" max="5" width="5.875" style="0" customWidth="1"/>
    <col min="6" max="7" width="5.625" style="0" customWidth="1"/>
    <col min="8" max="15" width="5.375" style="0" customWidth="1"/>
    <col min="16" max="16" width="9.875" style="3" customWidth="1"/>
    <col min="17" max="17" width="9.125" style="125" customWidth="1"/>
    <col min="18" max="31" width="5.375" style="0" customWidth="1"/>
    <col min="32" max="32" width="6.00390625" style="0" customWidth="1"/>
    <col min="33" max="33" width="6.375" style="0" customWidth="1"/>
    <col min="34" max="34" width="9.875" style="3" customWidth="1"/>
    <col min="35" max="36" width="9.125" style="125" customWidth="1"/>
  </cols>
  <sheetData>
    <row r="1" spans="4:57" ht="16.5" thickBot="1">
      <c r="D1" s="200" t="s">
        <v>108</v>
      </c>
      <c r="E1" s="30"/>
      <c r="F1" s="30"/>
      <c r="G1" s="30"/>
      <c r="H1" s="65"/>
      <c r="I1" s="65"/>
      <c r="J1" s="65"/>
      <c r="K1" s="65"/>
      <c r="L1" s="65"/>
      <c r="M1" s="65"/>
      <c r="N1" s="65"/>
      <c r="O1" s="65"/>
      <c r="P1" s="24"/>
      <c r="Q1" s="123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24"/>
      <c r="AI1" s="123"/>
      <c r="AJ1" s="12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25"/>
      <c r="BA1" s="26"/>
      <c r="BD1" s="6"/>
      <c r="BE1" s="7"/>
    </row>
    <row r="2" spans="2:53" ht="16.5" customHeight="1" thickBot="1">
      <c r="B2" s="27" t="s">
        <v>47</v>
      </c>
      <c r="C2" s="29" t="s">
        <v>23</v>
      </c>
      <c r="D2" s="73">
        <v>44077</v>
      </c>
      <c r="E2" s="251">
        <v>44078</v>
      </c>
      <c r="F2" s="73"/>
      <c r="G2" s="140">
        <v>44096</v>
      </c>
      <c r="H2" s="140">
        <v>44099</v>
      </c>
      <c r="I2" s="64">
        <v>44112</v>
      </c>
      <c r="J2" s="33">
        <v>44140</v>
      </c>
      <c r="K2" s="50">
        <v>44146</v>
      </c>
      <c r="L2" s="33"/>
      <c r="M2" s="62"/>
      <c r="N2" s="62">
        <v>44182</v>
      </c>
      <c r="O2" s="34">
        <v>44188</v>
      </c>
      <c r="P2" s="134" t="s">
        <v>21</v>
      </c>
      <c r="Q2" s="263" t="s">
        <v>81</v>
      </c>
      <c r="R2" s="73"/>
      <c r="S2" s="140">
        <v>44218</v>
      </c>
      <c r="T2" s="251">
        <v>44221</v>
      </c>
      <c r="U2" s="73"/>
      <c r="V2" s="251">
        <v>44239</v>
      </c>
      <c r="W2" s="33"/>
      <c r="X2" s="62">
        <v>44309</v>
      </c>
      <c r="Y2" s="50">
        <v>44314</v>
      </c>
      <c r="Z2" s="33"/>
      <c r="AA2" s="46">
        <v>44329</v>
      </c>
      <c r="AB2" s="46">
        <v>44335</v>
      </c>
      <c r="AC2" s="46">
        <v>44336</v>
      </c>
      <c r="AD2" s="62">
        <v>44343</v>
      </c>
      <c r="AE2" s="50">
        <v>44436</v>
      </c>
      <c r="AF2" s="33">
        <v>44357</v>
      </c>
      <c r="AG2" s="34">
        <v>44357</v>
      </c>
      <c r="AH2" s="262" t="s">
        <v>21</v>
      </c>
      <c r="AI2" s="124" t="s">
        <v>305</v>
      </c>
      <c r="AJ2" s="124" t="s">
        <v>306</v>
      </c>
      <c r="AT2" s="13"/>
      <c r="AU2" s="13"/>
      <c r="AV2" s="13"/>
      <c r="AW2" s="13"/>
      <c r="AX2" s="13"/>
      <c r="AY2" s="13"/>
      <c r="AZ2" s="13"/>
      <c r="BA2" s="13"/>
    </row>
    <row r="3" spans="1:39" ht="12.75">
      <c r="A3" s="3">
        <f>AH3</f>
        <v>3.090909090909091</v>
      </c>
      <c r="B3" s="2">
        <v>1</v>
      </c>
      <c r="C3" s="204" t="s">
        <v>154</v>
      </c>
      <c r="D3" s="56"/>
      <c r="E3" s="147">
        <v>6</v>
      </c>
      <c r="F3" s="250"/>
      <c r="G3" s="139">
        <v>2</v>
      </c>
      <c r="H3" s="157" t="s">
        <v>216</v>
      </c>
      <c r="I3" s="231">
        <v>2</v>
      </c>
      <c r="J3" s="234">
        <v>1</v>
      </c>
      <c r="K3" s="249">
        <v>3</v>
      </c>
      <c r="L3" s="55">
        <v>3</v>
      </c>
      <c r="M3" s="71"/>
      <c r="N3" s="71">
        <v>4</v>
      </c>
      <c r="O3" s="147">
        <v>1</v>
      </c>
      <c r="P3" s="268">
        <f>AVERAGE(D3:O3)</f>
        <v>2.75</v>
      </c>
      <c r="Q3" s="325">
        <f aca="true" t="shared" si="0" ref="Q3:Q28">ROUND(P3,0)</f>
        <v>3</v>
      </c>
      <c r="R3" s="55"/>
      <c r="S3" s="71">
        <v>6</v>
      </c>
      <c r="T3" s="70">
        <v>3</v>
      </c>
      <c r="U3" s="55"/>
      <c r="V3" s="70">
        <v>4</v>
      </c>
      <c r="W3" s="55"/>
      <c r="X3" s="139">
        <v>2</v>
      </c>
      <c r="Y3" s="249">
        <v>4</v>
      </c>
      <c r="Z3" s="55">
        <v>1</v>
      </c>
      <c r="AA3" s="302">
        <v>1</v>
      </c>
      <c r="AB3" s="302" t="s">
        <v>74</v>
      </c>
      <c r="AC3" s="302" t="s">
        <v>74</v>
      </c>
      <c r="AD3" s="71">
        <v>3</v>
      </c>
      <c r="AE3" s="70">
        <v>4</v>
      </c>
      <c r="AF3" s="339">
        <v>4</v>
      </c>
      <c r="AG3" s="237">
        <v>2</v>
      </c>
      <c r="AH3" s="351">
        <f>AVERAGE(R3:AG3)</f>
        <v>3.090909090909091</v>
      </c>
      <c r="AI3" s="182">
        <f aca="true" t="shared" si="1" ref="AI3:AI28">ROUND(AH3,0)</f>
        <v>3</v>
      </c>
      <c r="AJ3" s="182">
        <f>AVERAGE(Q3,AI3)</f>
        <v>3</v>
      </c>
      <c r="AK3" s="345" t="s">
        <v>27</v>
      </c>
      <c r="AL3" s="1">
        <f>COUNTIF(AI3:AI28,"&gt;8")</f>
        <v>0</v>
      </c>
      <c r="AM3" s="17">
        <f>AL3/$B$28</f>
        <v>0</v>
      </c>
    </row>
    <row r="4" spans="1:39" ht="12.75">
      <c r="A4" s="3">
        <f aca="true" t="shared" si="2" ref="A4:A28">AH4</f>
        <v>5.083333333333333</v>
      </c>
      <c r="B4" s="2">
        <v>2</v>
      </c>
      <c r="C4" s="204" t="s">
        <v>199</v>
      </c>
      <c r="D4" s="38"/>
      <c r="E4" s="146">
        <v>7</v>
      </c>
      <c r="F4" s="48"/>
      <c r="G4" s="5">
        <v>8</v>
      </c>
      <c r="H4" s="85">
        <v>7</v>
      </c>
      <c r="I4" s="82">
        <v>5</v>
      </c>
      <c r="J4" s="36">
        <v>6</v>
      </c>
      <c r="K4" s="45">
        <v>6</v>
      </c>
      <c r="L4" s="36"/>
      <c r="M4" s="31"/>
      <c r="N4" s="31">
        <v>4</v>
      </c>
      <c r="O4" s="41">
        <v>7</v>
      </c>
      <c r="P4" s="268">
        <f aca="true" t="shared" si="3" ref="P4:P28">AVERAGE(D4:O4)</f>
        <v>6.25</v>
      </c>
      <c r="Q4" s="325">
        <v>7</v>
      </c>
      <c r="R4" s="36"/>
      <c r="S4" s="31">
        <v>6</v>
      </c>
      <c r="T4" s="94">
        <v>6</v>
      </c>
      <c r="U4" s="329"/>
      <c r="V4" s="94">
        <v>7</v>
      </c>
      <c r="W4" s="36"/>
      <c r="X4" s="31">
        <v>7</v>
      </c>
      <c r="Y4" s="94">
        <v>4</v>
      </c>
      <c r="Z4" s="36"/>
      <c r="AA4" s="299">
        <v>2</v>
      </c>
      <c r="AB4" s="299">
        <v>4</v>
      </c>
      <c r="AC4" s="299">
        <v>3</v>
      </c>
      <c r="AD4" s="31">
        <v>5</v>
      </c>
      <c r="AE4" s="45">
        <v>8</v>
      </c>
      <c r="AF4" s="36">
        <v>2</v>
      </c>
      <c r="AG4" s="41">
        <v>7</v>
      </c>
      <c r="AH4" s="335">
        <f aca="true" t="shared" si="4" ref="AH4:AH28">AVERAGE(R4:AG4)</f>
        <v>5.083333333333333</v>
      </c>
      <c r="AI4" s="183">
        <f t="shared" si="1"/>
        <v>5</v>
      </c>
      <c r="AJ4" s="183">
        <f aca="true" t="shared" si="5" ref="AJ4:AJ28">AVERAGE(Q4,AI4)</f>
        <v>6</v>
      </c>
      <c r="AK4" s="345" t="s">
        <v>28</v>
      </c>
      <c r="AL4" s="18">
        <f>COUNTIF(AI3:AI28,7)+COUNTIF(AI3:AI28,8)+COUNTIF(AI3:AI28,6)</f>
        <v>2</v>
      </c>
      <c r="AM4" s="17">
        <f>AL4/$B$28</f>
        <v>0.07692307692307693</v>
      </c>
    </row>
    <row r="5" spans="1:39" ht="12.75">
      <c r="A5" s="3">
        <f t="shared" si="2"/>
        <v>3.0833333333333335</v>
      </c>
      <c r="B5" s="2">
        <v>3</v>
      </c>
      <c r="C5" s="204" t="s">
        <v>200</v>
      </c>
      <c r="D5" s="38"/>
      <c r="E5" s="41">
        <v>3</v>
      </c>
      <c r="F5" s="48"/>
      <c r="G5" s="5">
        <v>6</v>
      </c>
      <c r="H5" s="31">
        <v>5</v>
      </c>
      <c r="I5" s="41">
        <v>6</v>
      </c>
      <c r="J5" s="161">
        <v>4</v>
      </c>
      <c r="K5" s="94">
        <v>5</v>
      </c>
      <c r="L5" s="36">
        <v>1</v>
      </c>
      <c r="M5" s="31"/>
      <c r="N5" s="31">
        <v>3</v>
      </c>
      <c r="O5" s="41">
        <v>3</v>
      </c>
      <c r="P5" s="268">
        <f t="shared" si="3"/>
        <v>4</v>
      </c>
      <c r="Q5" s="325">
        <f t="shared" si="0"/>
        <v>4</v>
      </c>
      <c r="R5" s="36"/>
      <c r="S5" s="31">
        <v>8</v>
      </c>
      <c r="T5" s="94">
        <v>2</v>
      </c>
      <c r="U5" s="329"/>
      <c r="V5" s="94">
        <v>4</v>
      </c>
      <c r="W5" s="36">
        <v>1</v>
      </c>
      <c r="X5" s="31">
        <v>4</v>
      </c>
      <c r="Y5" s="94">
        <v>4</v>
      </c>
      <c r="Z5" s="36">
        <v>1</v>
      </c>
      <c r="AA5" s="299" t="s">
        <v>74</v>
      </c>
      <c r="AB5" s="299">
        <v>3</v>
      </c>
      <c r="AC5" s="299">
        <v>1</v>
      </c>
      <c r="AD5" s="252" t="s">
        <v>74</v>
      </c>
      <c r="AE5" s="94">
        <v>4</v>
      </c>
      <c r="AF5" s="36">
        <v>1</v>
      </c>
      <c r="AG5" s="146">
        <v>4</v>
      </c>
      <c r="AH5" s="335">
        <f t="shared" si="4"/>
        <v>3.0833333333333335</v>
      </c>
      <c r="AI5" s="183">
        <f t="shared" si="1"/>
        <v>3</v>
      </c>
      <c r="AJ5" s="183">
        <f t="shared" si="5"/>
        <v>3.5</v>
      </c>
      <c r="AK5" s="345" t="s">
        <v>29</v>
      </c>
      <c r="AL5" s="18">
        <f>COUNTIF(AI3:AI28,3)+COUNTIF(AI3:AI28,4)+COUNTIF(AI3:AI28,5)</f>
        <v>21</v>
      </c>
      <c r="AM5" s="17">
        <f>AL5/$B$28</f>
        <v>0.8076923076923077</v>
      </c>
    </row>
    <row r="6" spans="1:39" ht="12.75">
      <c r="A6" s="3">
        <f t="shared" si="2"/>
        <v>3.3333333333333335</v>
      </c>
      <c r="B6" s="2">
        <v>4</v>
      </c>
      <c r="C6" s="204" t="s">
        <v>116</v>
      </c>
      <c r="D6" s="38"/>
      <c r="E6" s="37">
        <v>6</v>
      </c>
      <c r="F6" s="48">
        <v>1</v>
      </c>
      <c r="G6" s="135" t="s">
        <v>74</v>
      </c>
      <c r="H6" s="219">
        <v>2</v>
      </c>
      <c r="I6" s="203">
        <v>1</v>
      </c>
      <c r="J6" s="161">
        <v>1</v>
      </c>
      <c r="K6" s="94">
        <v>5</v>
      </c>
      <c r="L6" s="36">
        <v>1</v>
      </c>
      <c r="M6" s="31"/>
      <c r="N6" s="270">
        <v>3</v>
      </c>
      <c r="O6" s="269">
        <v>3</v>
      </c>
      <c r="P6" s="268">
        <f t="shared" si="3"/>
        <v>2.5555555555555554</v>
      </c>
      <c r="Q6" s="325">
        <f t="shared" si="0"/>
        <v>3</v>
      </c>
      <c r="R6" s="36"/>
      <c r="S6" s="31">
        <v>4</v>
      </c>
      <c r="T6" s="94">
        <v>4</v>
      </c>
      <c r="U6" s="161">
        <v>1</v>
      </c>
      <c r="V6" s="94">
        <v>3</v>
      </c>
      <c r="W6" s="36"/>
      <c r="X6" s="252" t="s">
        <v>74</v>
      </c>
      <c r="Y6" s="94">
        <v>3</v>
      </c>
      <c r="Z6" s="36"/>
      <c r="AA6" s="299">
        <v>2</v>
      </c>
      <c r="AB6" s="299">
        <v>3</v>
      </c>
      <c r="AC6" s="299">
        <v>1</v>
      </c>
      <c r="AD6" s="31">
        <v>9</v>
      </c>
      <c r="AE6" s="45">
        <v>5</v>
      </c>
      <c r="AF6" s="161">
        <v>2</v>
      </c>
      <c r="AG6" s="146">
        <v>3</v>
      </c>
      <c r="AH6" s="335">
        <f t="shared" si="4"/>
        <v>3.3333333333333335</v>
      </c>
      <c r="AI6" s="183">
        <f t="shared" si="1"/>
        <v>3</v>
      </c>
      <c r="AJ6" s="183">
        <f t="shared" si="5"/>
        <v>3</v>
      </c>
      <c r="AK6" s="345" t="s">
        <v>30</v>
      </c>
      <c r="AL6" s="1">
        <f>COUNTIF(AI3:AI28,"&lt;3")</f>
        <v>3</v>
      </c>
      <c r="AM6" s="17">
        <f>AL6/$B$28</f>
        <v>0.11538461538461539</v>
      </c>
    </row>
    <row r="7" spans="1:39" ht="12.75">
      <c r="A7" s="3">
        <f t="shared" si="2"/>
        <v>4.571428571428571</v>
      </c>
      <c r="B7" s="2">
        <v>5</v>
      </c>
      <c r="C7" s="204" t="s">
        <v>119</v>
      </c>
      <c r="D7" s="38"/>
      <c r="E7" s="146">
        <v>4</v>
      </c>
      <c r="F7" s="48">
        <v>7</v>
      </c>
      <c r="G7" s="5">
        <v>4</v>
      </c>
      <c r="H7" s="219">
        <v>1</v>
      </c>
      <c r="I7" s="82">
        <v>5</v>
      </c>
      <c r="J7" s="161">
        <v>4</v>
      </c>
      <c r="K7" s="94">
        <v>3</v>
      </c>
      <c r="L7" s="36"/>
      <c r="M7" s="31"/>
      <c r="N7" s="252" t="s">
        <v>74</v>
      </c>
      <c r="O7" s="247" t="s">
        <v>74</v>
      </c>
      <c r="P7" s="268">
        <f t="shared" si="3"/>
        <v>4</v>
      </c>
      <c r="Q7" s="325">
        <f t="shared" si="0"/>
        <v>4</v>
      </c>
      <c r="R7" s="36"/>
      <c r="S7" s="135">
        <v>2</v>
      </c>
      <c r="T7" s="45">
        <v>7</v>
      </c>
      <c r="U7" s="36">
        <v>7</v>
      </c>
      <c r="V7" s="94">
        <v>4</v>
      </c>
      <c r="W7" s="36">
        <v>7</v>
      </c>
      <c r="X7" s="31">
        <v>5</v>
      </c>
      <c r="Y7" s="94">
        <v>3</v>
      </c>
      <c r="Z7" s="36"/>
      <c r="AA7" s="299">
        <v>6</v>
      </c>
      <c r="AB7" s="299">
        <v>6</v>
      </c>
      <c r="AC7" s="299">
        <v>3</v>
      </c>
      <c r="AD7" s="135">
        <v>2</v>
      </c>
      <c r="AE7" s="45">
        <v>6</v>
      </c>
      <c r="AF7" s="36">
        <v>3</v>
      </c>
      <c r="AG7" s="41">
        <v>3</v>
      </c>
      <c r="AH7" s="335">
        <f t="shared" si="4"/>
        <v>4.571428571428571</v>
      </c>
      <c r="AI7" s="183">
        <f t="shared" si="1"/>
        <v>5</v>
      </c>
      <c r="AJ7" s="183">
        <f t="shared" si="5"/>
        <v>4.5</v>
      </c>
      <c r="AK7" s="346" t="s">
        <v>31</v>
      </c>
      <c r="AL7" s="1">
        <f>B28-SUM(AL3:AL6)</f>
        <v>0</v>
      </c>
      <c r="AM7" s="17">
        <f>AL7/$B$28</f>
        <v>0</v>
      </c>
    </row>
    <row r="8" spans="1:36" ht="12.75">
      <c r="A8" s="3">
        <f t="shared" si="2"/>
        <v>3.3333333333333335</v>
      </c>
      <c r="B8" s="2">
        <v>6</v>
      </c>
      <c r="C8" s="204" t="s">
        <v>114</v>
      </c>
      <c r="D8" s="38">
        <v>7</v>
      </c>
      <c r="E8" s="146">
        <v>2</v>
      </c>
      <c r="F8" s="48">
        <v>7</v>
      </c>
      <c r="G8" s="5">
        <v>3</v>
      </c>
      <c r="H8" s="85">
        <v>4</v>
      </c>
      <c r="I8" s="82">
        <v>5</v>
      </c>
      <c r="J8" s="36">
        <v>5</v>
      </c>
      <c r="K8" s="94">
        <v>3</v>
      </c>
      <c r="L8" s="36">
        <v>9</v>
      </c>
      <c r="M8" s="31">
        <v>9</v>
      </c>
      <c r="N8" s="31">
        <v>4</v>
      </c>
      <c r="O8" s="269">
        <v>5</v>
      </c>
      <c r="P8" s="268">
        <f t="shared" si="3"/>
        <v>5.25</v>
      </c>
      <c r="Q8" s="325">
        <v>6</v>
      </c>
      <c r="R8" s="36"/>
      <c r="S8" s="135">
        <v>5</v>
      </c>
      <c r="T8" s="45">
        <v>3</v>
      </c>
      <c r="U8" s="36"/>
      <c r="V8" s="45">
        <v>4</v>
      </c>
      <c r="W8" s="36"/>
      <c r="X8" s="135">
        <v>2</v>
      </c>
      <c r="Y8" s="94">
        <v>3</v>
      </c>
      <c r="Z8" s="36"/>
      <c r="AA8" s="299">
        <v>3</v>
      </c>
      <c r="AB8" s="299">
        <v>4</v>
      </c>
      <c r="AC8" s="299">
        <v>3</v>
      </c>
      <c r="AD8" s="31">
        <v>4</v>
      </c>
      <c r="AE8" s="94">
        <v>3</v>
      </c>
      <c r="AF8" s="36">
        <v>4</v>
      </c>
      <c r="AG8" s="41">
        <v>2</v>
      </c>
      <c r="AH8" s="335">
        <f t="shared" si="4"/>
        <v>3.3333333333333335</v>
      </c>
      <c r="AI8" s="183">
        <f t="shared" si="1"/>
        <v>3</v>
      </c>
      <c r="AJ8" s="183">
        <f t="shared" si="5"/>
        <v>4.5</v>
      </c>
    </row>
    <row r="9" spans="1:36" ht="12.75">
      <c r="A9" s="3">
        <f t="shared" si="2"/>
        <v>3</v>
      </c>
      <c r="B9" s="2">
        <v>7</v>
      </c>
      <c r="C9" s="204" t="s">
        <v>201</v>
      </c>
      <c r="D9" s="38"/>
      <c r="E9" s="37">
        <v>5</v>
      </c>
      <c r="F9" s="48"/>
      <c r="G9" s="135">
        <v>4</v>
      </c>
      <c r="H9" s="85">
        <v>4</v>
      </c>
      <c r="I9" s="82">
        <v>5</v>
      </c>
      <c r="J9" s="36">
        <v>4</v>
      </c>
      <c r="K9" s="94">
        <v>5</v>
      </c>
      <c r="L9" s="36">
        <v>9</v>
      </c>
      <c r="M9" s="31"/>
      <c r="N9" s="252" t="s">
        <v>74</v>
      </c>
      <c r="O9" s="41">
        <v>4</v>
      </c>
      <c r="P9" s="268">
        <f t="shared" si="3"/>
        <v>5</v>
      </c>
      <c r="Q9" s="325">
        <f t="shared" si="0"/>
        <v>5</v>
      </c>
      <c r="R9" s="36">
        <v>7</v>
      </c>
      <c r="S9" s="135">
        <v>3</v>
      </c>
      <c r="T9" s="94">
        <v>2</v>
      </c>
      <c r="U9" s="329"/>
      <c r="V9" s="94">
        <v>1</v>
      </c>
      <c r="W9" s="36"/>
      <c r="X9" s="135">
        <v>2</v>
      </c>
      <c r="Y9" s="94">
        <v>3</v>
      </c>
      <c r="Z9" s="36"/>
      <c r="AA9" s="299">
        <v>3</v>
      </c>
      <c r="AB9" s="299">
        <v>3</v>
      </c>
      <c r="AC9" s="299">
        <v>3</v>
      </c>
      <c r="AD9" s="31">
        <v>3</v>
      </c>
      <c r="AE9" s="45">
        <v>6</v>
      </c>
      <c r="AF9" s="161">
        <v>1</v>
      </c>
      <c r="AG9" s="146">
        <v>2</v>
      </c>
      <c r="AH9" s="335">
        <f t="shared" si="4"/>
        <v>3</v>
      </c>
      <c r="AI9" s="183">
        <f t="shared" si="1"/>
        <v>3</v>
      </c>
      <c r="AJ9" s="183">
        <f t="shared" si="5"/>
        <v>4</v>
      </c>
    </row>
    <row r="10" spans="1:36" ht="12.75">
      <c r="A10" s="3">
        <f t="shared" si="2"/>
        <v>4.545454545454546</v>
      </c>
      <c r="B10" s="2">
        <v>8</v>
      </c>
      <c r="C10" s="204" t="s">
        <v>118</v>
      </c>
      <c r="D10" s="38"/>
      <c r="E10" s="37">
        <v>6</v>
      </c>
      <c r="F10" s="48"/>
      <c r="G10" s="135" t="s">
        <v>74</v>
      </c>
      <c r="H10" s="219">
        <v>7</v>
      </c>
      <c r="I10" s="82">
        <v>7</v>
      </c>
      <c r="J10" s="161">
        <v>4</v>
      </c>
      <c r="K10" s="45">
        <v>3</v>
      </c>
      <c r="L10" s="36"/>
      <c r="M10" s="31"/>
      <c r="N10" s="31">
        <v>4</v>
      </c>
      <c r="O10" s="269">
        <v>5</v>
      </c>
      <c r="P10" s="268">
        <f t="shared" si="3"/>
        <v>5.142857142857143</v>
      </c>
      <c r="Q10" s="325">
        <f t="shared" si="0"/>
        <v>5</v>
      </c>
      <c r="R10" s="36"/>
      <c r="S10" s="135">
        <v>5</v>
      </c>
      <c r="T10" s="326" t="s">
        <v>74</v>
      </c>
      <c r="U10" s="329"/>
      <c r="V10" s="94">
        <v>3</v>
      </c>
      <c r="W10" s="36">
        <v>1</v>
      </c>
      <c r="X10" s="31">
        <v>9</v>
      </c>
      <c r="Y10" s="94">
        <v>6</v>
      </c>
      <c r="Z10" s="36"/>
      <c r="AA10" s="299" t="s">
        <v>74</v>
      </c>
      <c r="AB10" s="49">
        <v>4</v>
      </c>
      <c r="AC10" s="299">
        <v>3</v>
      </c>
      <c r="AD10" s="31">
        <v>5</v>
      </c>
      <c r="AE10" s="45">
        <v>7</v>
      </c>
      <c r="AF10" s="161">
        <v>3</v>
      </c>
      <c r="AG10" s="146">
        <v>4</v>
      </c>
      <c r="AH10" s="335">
        <f t="shared" si="4"/>
        <v>4.545454545454546</v>
      </c>
      <c r="AI10" s="183">
        <f t="shared" si="1"/>
        <v>5</v>
      </c>
      <c r="AJ10" s="183">
        <f t="shared" si="5"/>
        <v>5</v>
      </c>
    </row>
    <row r="11" spans="1:36" ht="12.75">
      <c r="A11" s="3">
        <f t="shared" si="2"/>
        <v>4.3125</v>
      </c>
      <c r="B11" s="2">
        <v>9</v>
      </c>
      <c r="C11" s="204" t="s">
        <v>202</v>
      </c>
      <c r="D11" s="38"/>
      <c r="E11" s="146">
        <v>1</v>
      </c>
      <c r="F11" s="48"/>
      <c r="G11" s="5">
        <v>4</v>
      </c>
      <c r="H11" s="135">
        <v>1</v>
      </c>
      <c r="I11" s="146">
        <v>7</v>
      </c>
      <c r="J11" s="161">
        <v>6</v>
      </c>
      <c r="K11" s="94">
        <v>3</v>
      </c>
      <c r="L11" s="36"/>
      <c r="M11" s="31"/>
      <c r="N11" s="270">
        <v>4</v>
      </c>
      <c r="O11" s="41">
        <v>6</v>
      </c>
      <c r="P11" s="268">
        <f t="shared" si="3"/>
        <v>4</v>
      </c>
      <c r="Q11" s="325">
        <f t="shared" si="0"/>
        <v>4</v>
      </c>
      <c r="R11" s="36">
        <v>7</v>
      </c>
      <c r="S11" s="31">
        <v>4</v>
      </c>
      <c r="T11" s="94">
        <v>5</v>
      </c>
      <c r="U11" s="161">
        <v>6</v>
      </c>
      <c r="V11" s="94">
        <v>2</v>
      </c>
      <c r="W11" s="36">
        <v>7</v>
      </c>
      <c r="X11" s="31">
        <v>4</v>
      </c>
      <c r="Y11" s="94">
        <v>3</v>
      </c>
      <c r="Z11" s="36">
        <v>6</v>
      </c>
      <c r="AA11" s="299">
        <v>3</v>
      </c>
      <c r="AB11" s="299">
        <v>4</v>
      </c>
      <c r="AC11" s="299">
        <v>3</v>
      </c>
      <c r="AD11" s="135">
        <v>2</v>
      </c>
      <c r="AE11" s="45">
        <v>6</v>
      </c>
      <c r="AF11" s="36">
        <v>2</v>
      </c>
      <c r="AG11" s="41">
        <v>5</v>
      </c>
      <c r="AH11" s="335">
        <f t="shared" si="4"/>
        <v>4.3125</v>
      </c>
      <c r="AI11" s="183">
        <f t="shared" si="1"/>
        <v>4</v>
      </c>
      <c r="AJ11" s="183">
        <f t="shared" si="5"/>
        <v>4</v>
      </c>
    </row>
    <row r="12" spans="1:36" ht="12.75">
      <c r="A12" s="3">
        <f t="shared" si="2"/>
        <v>4.2</v>
      </c>
      <c r="B12" s="2">
        <v>10</v>
      </c>
      <c r="C12" s="204" t="s">
        <v>203</v>
      </c>
      <c r="D12" s="38"/>
      <c r="E12" s="37">
        <v>3</v>
      </c>
      <c r="F12" s="48"/>
      <c r="G12" s="5">
        <v>3</v>
      </c>
      <c r="H12" s="219">
        <v>1</v>
      </c>
      <c r="I12" s="269">
        <v>4</v>
      </c>
      <c r="J12" s="36">
        <v>3</v>
      </c>
      <c r="K12" s="94">
        <v>4</v>
      </c>
      <c r="L12" s="36"/>
      <c r="M12" s="31"/>
      <c r="N12" s="31">
        <v>3</v>
      </c>
      <c r="O12" s="41">
        <v>7</v>
      </c>
      <c r="P12" s="268">
        <f t="shared" si="3"/>
        <v>3.5</v>
      </c>
      <c r="Q12" s="325">
        <f t="shared" si="0"/>
        <v>4</v>
      </c>
      <c r="R12" s="36"/>
      <c r="S12" s="31">
        <v>4</v>
      </c>
      <c r="T12" s="45">
        <v>8</v>
      </c>
      <c r="U12" s="36">
        <v>6</v>
      </c>
      <c r="V12" s="45">
        <v>3</v>
      </c>
      <c r="W12" s="36">
        <v>1</v>
      </c>
      <c r="X12" s="31">
        <v>7</v>
      </c>
      <c r="Y12" s="45">
        <v>4</v>
      </c>
      <c r="Z12" s="36">
        <v>4</v>
      </c>
      <c r="AA12" s="299">
        <v>3</v>
      </c>
      <c r="AB12" s="299">
        <v>3</v>
      </c>
      <c r="AC12" s="299">
        <v>1</v>
      </c>
      <c r="AD12" s="31">
        <v>6</v>
      </c>
      <c r="AE12" s="45">
        <v>5</v>
      </c>
      <c r="AF12" s="36">
        <v>3</v>
      </c>
      <c r="AG12" s="146">
        <v>5</v>
      </c>
      <c r="AH12" s="335">
        <f t="shared" si="4"/>
        <v>4.2</v>
      </c>
      <c r="AI12" s="183">
        <f t="shared" si="1"/>
        <v>4</v>
      </c>
      <c r="AJ12" s="183">
        <f t="shared" si="5"/>
        <v>4</v>
      </c>
    </row>
    <row r="13" spans="1:36" ht="12.75">
      <c r="A13" s="3">
        <f t="shared" si="2"/>
        <v>4.545454545454546</v>
      </c>
      <c r="B13" s="2">
        <v>11</v>
      </c>
      <c r="C13" s="204" t="s">
        <v>109</v>
      </c>
      <c r="D13" s="38"/>
      <c r="E13" s="37">
        <v>4</v>
      </c>
      <c r="F13" s="49">
        <v>7</v>
      </c>
      <c r="G13" s="5">
        <v>6</v>
      </c>
      <c r="H13" s="31">
        <v>5</v>
      </c>
      <c r="I13" s="41">
        <v>3</v>
      </c>
      <c r="J13" s="161">
        <v>1</v>
      </c>
      <c r="K13" s="94">
        <v>7</v>
      </c>
      <c r="L13" s="36">
        <v>9</v>
      </c>
      <c r="M13" s="31">
        <v>9</v>
      </c>
      <c r="N13" s="31">
        <v>4</v>
      </c>
      <c r="O13" s="41">
        <v>6</v>
      </c>
      <c r="P13" s="268">
        <f t="shared" si="3"/>
        <v>5.545454545454546</v>
      </c>
      <c r="Q13" s="325">
        <f t="shared" si="0"/>
        <v>6</v>
      </c>
      <c r="R13" s="36">
        <v>9</v>
      </c>
      <c r="S13" s="31">
        <v>5</v>
      </c>
      <c r="T13" s="94">
        <v>6</v>
      </c>
      <c r="U13" s="329"/>
      <c r="V13" s="94">
        <v>6</v>
      </c>
      <c r="W13" s="36"/>
      <c r="X13" s="135">
        <v>2</v>
      </c>
      <c r="Y13" s="94">
        <v>3</v>
      </c>
      <c r="Z13" s="36"/>
      <c r="AA13" s="299" t="s">
        <v>74</v>
      </c>
      <c r="AB13" s="299">
        <v>3</v>
      </c>
      <c r="AC13" s="299">
        <v>2</v>
      </c>
      <c r="AD13" s="31">
        <v>5</v>
      </c>
      <c r="AE13" s="45">
        <v>6</v>
      </c>
      <c r="AF13" s="271">
        <v>3</v>
      </c>
      <c r="AG13" s="247" t="s">
        <v>74</v>
      </c>
      <c r="AH13" s="335">
        <f t="shared" si="4"/>
        <v>4.545454545454546</v>
      </c>
      <c r="AI13" s="183">
        <f t="shared" si="1"/>
        <v>5</v>
      </c>
      <c r="AJ13" s="183">
        <f t="shared" si="5"/>
        <v>5.5</v>
      </c>
    </row>
    <row r="14" spans="1:36" ht="12.75">
      <c r="A14" s="3">
        <f t="shared" si="2"/>
        <v>3</v>
      </c>
      <c r="B14" s="2">
        <v>12</v>
      </c>
      <c r="C14" s="204" t="s">
        <v>204</v>
      </c>
      <c r="D14" s="38"/>
      <c r="E14" s="37">
        <v>4</v>
      </c>
      <c r="F14" s="48"/>
      <c r="G14" s="5">
        <v>6</v>
      </c>
      <c r="H14" s="219">
        <v>1</v>
      </c>
      <c r="I14" s="159" t="s">
        <v>74</v>
      </c>
      <c r="J14" s="161">
        <v>1</v>
      </c>
      <c r="K14" s="94">
        <v>3</v>
      </c>
      <c r="L14" s="36">
        <v>1</v>
      </c>
      <c r="M14" s="31"/>
      <c r="N14" s="135">
        <v>2</v>
      </c>
      <c r="O14" s="41">
        <v>4</v>
      </c>
      <c r="P14" s="268">
        <f t="shared" si="3"/>
        <v>2.75</v>
      </c>
      <c r="Q14" s="325">
        <f t="shared" si="0"/>
        <v>3</v>
      </c>
      <c r="R14" s="36"/>
      <c r="S14" s="135">
        <v>2</v>
      </c>
      <c r="T14" s="94">
        <v>3</v>
      </c>
      <c r="U14" s="329"/>
      <c r="V14" s="94">
        <v>4</v>
      </c>
      <c r="W14" s="36">
        <v>4</v>
      </c>
      <c r="X14" s="135">
        <v>5</v>
      </c>
      <c r="Y14" s="45">
        <v>4</v>
      </c>
      <c r="Z14" s="36"/>
      <c r="AA14" s="299">
        <v>1</v>
      </c>
      <c r="AB14" s="299">
        <v>1</v>
      </c>
      <c r="AC14" s="299">
        <v>1</v>
      </c>
      <c r="AD14" s="31">
        <v>3</v>
      </c>
      <c r="AE14" s="45">
        <v>7</v>
      </c>
      <c r="AF14" s="36">
        <v>3</v>
      </c>
      <c r="AG14" s="146">
        <v>1</v>
      </c>
      <c r="AH14" s="335">
        <f t="shared" si="4"/>
        <v>3</v>
      </c>
      <c r="AI14" s="183">
        <f t="shared" si="1"/>
        <v>3</v>
      </c>
      <c r="AJ14" s="183">
        <f t="shared" si="5"/>
        <v>3</v>
      </c>
    </row>
    <row r="15" spans="1:36" ht="12.75">
      <c r="A15" s="3">
        <f t="shared" si="2"/>
        <v>3.3846153846153846</v>
      </c>
      <c r="B15" s="2">
        <v>13</v>
      </c>
      <c r="C15" s="204" t="s">
        <v>205</v>
      </c>
      <c r="D15" s="38"/>
      <c r="E15" s="146">
        <v>1</v>
      </c>
      <c r="F15" s="48"/>
      <c r="G15" s="135">
        <v>2</v>
      </c>
      <c r="H15" s="31">
        <v>3</v>
      </c>
      <c r="I15" s="41">
        <v>3</v>
      </c>
      <c r="J15" s="36">
        <v>4</v>
      </c>
      <c r="K15" s="94">
        <v>3</v>
      </c>
      <c r="L15" s="36">
        <v>8</v>
      </c>
      <c r="M15" s="31">
        <v>9</v>
      </c>
      <c r="N15" s="31">
        <v>9</v>
      </c>
      <c r="O15" s="41">
        <v>7</v>
      </c>
      <c r="P15" s="268">
        <f t="shared" si="3"/>
        <v>4.9</v>
      </c>
      <c r="Q15" s="325">
        <f t="shared" si="0"/>
        <v>5</v>
      </c>
      <c r="R15" s="36"/>
      <c r="S15" s="135">
        <v>4</v>
      </c>
      <c r="T15" s="45">
        <v>5</v>
      </c>
      <c r="U15" s="36"/>
      <c r="V15" s="94">
        <v>2</v>
      </c>
      <c r="W15" s="36">
        <v>7</v>
      </c>
      <c r="X15" s="135">
        <v>2</v>
      </c>
      <c r="Y15" s="45">
        <v>4</v>
      </c>
      <c r="Z15" s="36"/>
      <c r="AA15" s="299">
        <v>3</v>
      </c>
      <c r="AB15" s="299">
        <v>3</v>
      </c>
      <c r="AC15" s="299">
        <v>3</v>
      </c>
      <c r="AD15" s="135">
        <v>2</v>
      </c>
      <c r="AE15" s="45">
        <v>5</v>
      </c>
      <c r="AF15" s="36">
        <v>2</v>
      </c>
      <c r="AG15" s="41">
        <v>2</v>
      </c>
      <c r="AH15" s="335">
        <f t="shared" si="4"/>
        <v>3.3846153846153846</v>
      </c>
      <c r="AI15" s="183">
        <f t="shared" si="1"/>
        <v>3</v>
      </c>
      <c r="AJ15" s="183">
        <f t="shared" si="5"/>
        <v>4</v>
      </c>
    </row>
    <row r="16" spans="1:36" ht="12.75">
      <c r="A16" s="3">
        <f t="shared" si="2"/>
        <v>3.1666666666666665</v>
      </c>
      <c r="B16" s="2">
        <v>14</v>
      </c>
      <c r="C16" s="204" t="s">
        <v>117</v>
      </c>
      <c r="D16" s="38"/>
      <c r="E16" s="146">
        <v>2</v>
      </c>
      <c r="F16" s="48"/>
      <c r="G16" s="5">
        <v>5</v>
      </c>
      <c r="H16" s="129" t="s">
        <v>217</v>
      </c>
      <c r="I16" s="82">
        <v>6</v>
      </c>
      <c r="J16" s="161">
        <v>4</v>
      </c>
      <c r="K16" s="94">
        <v>3</v>
      </c>
      <c r="L16" s="36"/>
      <c r="M16" s="31"/>
      <c r="N16" s="252" t="s">
        <v>74</v>
      </c>
      <c r="O16" s="41">
        <v>5</v>
      </c>
      <c r="P16" s="268">
        <f t="shared" si="3"/>
        <v>4.166666666666667</v>
      </c>
      <c r="Q16" s="325">
        <f t="shared" si="0"/>
        <v>4</v>
      </c>
      <c r="R16" s="36"/>
      <c r="S16" s="135">
        <v>1</v>
      </c>
      <c r="T16" s="94">
        <v>6</v>
      </c>
      <c r="U16" s="329"/>
      <c r="V16" s="94">
        <v>4</v>
      </c>
      <c r="W16" s="36"/>
      <c r="X16" s="31">
        <v>4</v>
      </c>
      <c r="Y16" s="94">
        <v>3</v>
      </c>
      <c r="Z16" s="36"/>
      <c r="AA16" s="299">
        <v>1</v>
      </c>
      <c r="AB16" s="299">
        <v>4</v>
      </c>
      <c r="AC16" s="299">
        <v>1</v>
      </c>
      <c r="AD16" s="135">
        <v>1</v>
      </c>
      <c r="AE16" s="94">
        <v>5</v>
      </c>
      <c r="AF16" s="36">
        <v>4</v>
      </c>
      <c r="AG16" s="41">
        <v>4</v>
      </c>
      <c r="AH16" s="335">
        <f t="shared" si="4"/>
        <v>3.1666666666666665</v>
      </c>
      <c r="AI16" s="183">
        <f t="shared" si="1"/>
        <v>3</v>
      </c>
      <c r="AJ16" s="183">
        <f t="shared" si="5"/>
        <v>3.5</v>
      </c>
    </row>
    <row r="17" spans="1:36" ht="12.75">
      <c r="A17" s="3">
        <f t="shared" si="2"/>
        <v>5.75</v>
      </c>
      <c r="B17" s="2">
        <v>15</v>
      </c>
      <c r="C17" s="204" t="s">
        <v>115</v>
      </c>
      <c r="D17" s="38"/>
      <c r="E17" s="37">
        <v>5</v>
      </c>
      <c r="F17" s="48">
        <v>7</v>
      </c>
      <c r="G17" s="5">
        <v>5</v>
      </c>
      <c r="H17" s="85">
        <v>6</v>
      </c>
      <c r="I17" s="82">
        <v>5</v>
      </c>
      <c r="J17" s="161">
        <v>4</v>
      </c>
      <c r="K17" s="94">
        <v>7</v>
      </c>
      <c r="L17" s="36">
        <v>7</v>
      </c>
      <c r="M17" s="31"/>
      <c r="N17" s="31">
        <v>4</v>
      </c>
      <c r="O17" s="41">
        <v>5</v>
      </c>
      <c r="P17" s="268">
        <f t="shared" si="3"/>
        <v>5.5</v>
      </c>
      <c r="Q17" s="325">
        <f t="shared" si="0"/>
        <v>6</v>
      </c>
      <c r="R17" s="36">
        <v>9</v>
      </c>
      <c r="S17" s="31">
        <v>8</v>
      </c>
      <c r="T17" s="94">
        <v>5</v>
      </c>
      <c r="U17" s="161">
        <v>7</v>
      </c>
      <c r="V17" s="326" t="s">
        <v>74</v>
      </c>
      <c r="W17" s="36">
        <v>7</v>
      </c>
      <c r="X17" s="252" t="s">
        <v>74</v>
      </c>
      <c r="Y17" s="94">
        <v>5</v>
      </c>
      <c r="Z17" s="36"/>
      <c r="AA17" s="299">
        <v>3</v>
      </c>
      <c r="AB17" s="299">
        <v>3</v>
      </c>
      <c r="AC17" s="299">
        <v>1</v>
      </c>
      <c r="AD17" s="135">
        <v>9</v>
      </c>
      <c r="AE17" s="326" t="s">
        <v>74</v>
      </c>
      <c r="AF17" s="161">
        <v>6</v>
      </c>
      <c r="AG17" s="146">
        <v>6</v>
      </c>
      <c r="AH17" s="335">
        <f t="shared" si="4"/>
        <v>5.75</v>
      </c>
      <c r="AI17" s="183">
        <f t="shared" si="1"/>
        <v>6</v>
      </c>
      <c r="AJ17" s="183">
        <f t="shared" si="5"/>
        <v>6</v>
      </c>
    </row>
    <row r="18" spans="1:36" ht="12.75">
      <c r="A18" s="3">
        <f t="shared" si="2"/>
        <v>3.769230769230769</v>
      </c>
      <c r="B18" s="2">
        <v>16</v>
      </c>
      <c r="C18" s="204" t="s">
        <v>206</v>
      </c>
      <c r="D18" s="38"/>
      <c r="E18" s="37">
        <v>4</v>
      </c>
      <c r="F18" s="48"/>
      <c r="G18" s="5">
        <v>5</v>
      </c>
      <c r="H18" s="135">
        <v>2</v>
      </c>
      <c r="I18" s="146">
        <v>1</v>
      </c>
      <c r="J18" s="161">
        <v>1</v>
      </c>
      <c r="K18" s="94">
        <v>5</v>
      </c>
      <c r="L18" s="36"/>
      <c r="M18" s="31"/>
      <c r="N18" s="31">
        <v>3</v>
      </c>
      <c r="O18" s="41">
        <v>2</v>
      </c>
      <c r="P18" s="268">
        <f t="shared" si="3"/>
        <v>2.875</v>
      </c>
      <c r="Q18" s="325">
        <f t="shared" si="0"/>
        <v>3</v>
      </c>
      <c r="R18" s="36"/>
      <c r="S18" s="135">
        <v>6</v>
      </c>
      <c r="T18" s="94">
        <v>4</v>
      </c>
      <c r="U18" s="329"/>
      <c r="V18" s="94">
        <v>7</v>
      </c>
      <c r="W18" s="36"/>
      <c r="X18" s="135">
        <v>3</v>
      </c>
      <c r="Y18" s="45">
        <v>4</v>
      </c>
      <c r="Z18" s="36">
        <v>1</v>
      </c>
      <c r="AA18" s="299">
        <v>1</v>
      </c>
      <c r="AB18" s="299">
        <v>1</v>
      </c>
      <c r="AC18" s="299">
        <v>1</v>
      </c>
      <c r="AD18" s="135">
        <v>9</v>
      </c>
      <c r="AE18" s="94">
        <v>5</v>
      </c>
      <c r="AF18" s="36">
        <v>6</v>
      </c>
      <c r="AG18" s="146">
        <v>1</v>
      </c>
      <c r="AH18" s="335">
        <f t="shared" si="4"/>
        <v>3.769230769230769</v>
      </c>
      <c r="AI18" s="183">
        <f t="shared" si="1"/>
        <v>4</v>
      </c>
      <c r="AJ18" s="183">
        <f t="shared" si="5"/>
        <v>3.5</v>
      </c>
    </row>
    <row r="19" spans="1:36" ht="12.75">
      <c r="A19" s="3">
        <f t="shared" si="2"/>
        <v>3.1818181818181817</v>
      </c>
      <c r="B19" s="2">
        <v>17</v>
      </c>
      <c r="C19" s="204" t="s">
        <v>122</v>
      </c>
      <c r="D19" s="38"/>
      <c r="E19" s="146">
        <v>1</v>
      </c>
      <c r="F19" s="48"/>
      <c r="G19" s="135">
        <v>2</v>
      </c>
      <c r="H19" s="135">
        <v>2</v>
      </c>
      <c r="I19" s="146">
        <v>1</v>
      </c>
      <c r="J19" s="36">
        <v>4</v>
      </c>
      <c r="K19" s="94">
        <v>3</v>
      </c>
      <c r="L19" s="36"/>
      <c r="M19" s="31"/>
      <c r="N19" s="31">
        <v>4</v>
      </c>
      <c r="O19" s="41">
        <v>6</v>
      </c>
      <c r="P19" s="268">
        <f t="shared" si="3"/>
        <v>2.875</v>
      </c>
      <c r="Q19" s="325">
        <f t="shared" si="0"/>
        <v>3</v>
      </c>
      <c r="R19" s="36">
        <v>9</v>
      </c>
      <c r="S19" s="31">
        <v>4</v>
      </c>
      <c r="T19" s="45">
        <v>3</v>
      </c>
      <c r="U19" s="36"/>
      <c r="V19" s="94">
        <v>2</v>
      </c>
      <c r="W19" s="36"/>
      <c r="X19" s="135">
        <v>2</v>
      </c>
      <c r="Y19" s="45">
        <v>3</v>
      </c>
      <c r="Z19" s="36"/>
      <c r="AA19" s="299">
        <v>1</v>
      </c>
      <c r="AB19" s="299" t="s">
        <v>74</v>
      </c>
      <c r="AC19" s="299" t="s">
        <v>74</v>
      </c>
      <c r="AD19" s="135">
        <v>1</v>
      </c>
      <c r="AE19" s="45">
        <v>7</v>
      </c>
      <c r="AF19" s="36">
        <v>2</v>
      </c>
      <c r="AG19" s="41">
        <v>1</v>
      </c>
      <c r="AH19" s="335">
        <f t="shared" si="4"/>
        <v>3.1818181818181817</v>
      </c>
      <c r="AI19" s="183">
        <f t="shared" si="1"/>
        <v>3</v>
      </c>
      <c r="AJ19" s="183">
        <f t="shared" si="5"/>
        <v>3</v>
      </c>
    </row>
    <row r="20" spans="1:36" ht="12.75">
      <c r="A20" s="3">
        <f t="shared" si="2"/>
        <v>2.9166666666666665</v>
      </c>
      <c r="B20" s="2">
        <v>18</v>
      </c>
      <c r="C20" s="204" t="s">
        <v>120</v>
      </c>
      <c r="D20" s="38"/>
      <c r="E20" s="146">
        <v>1</v>
      </c>
      <c r="F20" s="48">
        <v>1</v>
      </c>
      <c r="G20" s="135" t="s">
        <v>74</v>
      </c>
      <c r="H20" s="31">
        <v>5</v>
      </c>
      <c r="I20" s="146">
        <v>5</v>
      </c>
      <c r="J20" s="161">
        <v>3</v>
      </c>
      <c r="K20" s="94">
        <v>3</v>
      </c>
      <c r="L20" s="36"/>
      <c r="M20" s="31"/>
      <c r="N20" s="31">
        <v>3</v>
      </c>
      <c r="O20" s="41">
        <v>6</v>
      </c>
      <c r="P20" s="268">
        <f t="shared" si="3"/>
        <v>3.375</v>
      </c>
      <c r="Q20" s="325">
        <f t="shared" si="0"/>
        <v>3</v>
      </c>
      <c r="R20" s="36"/>
      <c r="S20" s="135">
        <v>1</v>
      </c>
      <c r="T20" s="45">
        <v>5</v>
      </c>
      <c r="U20" s="36"/>
      <c r="V20" s="45">
        <v>3</v>
      </c>
      <c r="W20" s="36"/>
      <c r="X20" s="135">
        <v>2</v>
      </c>
      <c r="Y20" s="94">
        <v>3</v>
      </c>
      <c r="Z20" s="36"/>
      <c r="AA20" s="299">
        <v>1</v>
      </c>
      <c r="AB20" s="299">
        <v>1</v>
      </c>
      <c r="AC20" s="299">
        <v>1</v>
      </c>
      <c r="AD20" s="135">
        <v>6</v>
      </c>
      <c r="AE20" s="94">
        <v>5</v>
      </c>
      <c r="AF20" s="161">
        <v>3</v>
      </c>
      <c r="AG20" s="146">
        <v>4</v>
      </c>
      <c r="AH20" s="335">
        <f t="shared" si="4"/>
        <v>2.9166666666666665</v>
      </c>
      <c r="AI20" s="183">
        <f t="shared" si="1"/>
        <v>3</v>
      </c>
      <c r="AJ20" s="183">
        <f t="shared" si="5"/>
        <v>3</v>
      </c>
    </row>
    <row r="21" spans="1:36" ht="12.75">
      <c r="A21" s="3">
        <f t="shared" si="2"/>
        <v>2.5</v>
      </c>
      <c r="B21" s="2">
        <v>19</v>
      </c>
      <c r="C21" s="204" t="s">
        <v>111</v>
      </c>
      <c r="D21" s="38"/>
      <c r="E21" s="37">
        <v>6</v>
      </c>
      <c r="F21" s="48">
        <v>2</v>
      </c>
      <c r="G21" s="5">
        <v>3</v>
      </c>
      <c r="H21" s="85">
        <v>9</v>
      </c>
      <c r="I21" s="203">
        <v>3</v>
      </c>
      <c r="J21" s="161">
        <v>1</v>
      </c>
      <c r="K21" s="94">
        <v>5</v>
      </c>
      <c r="L21" s="36"/>
      <c r="M21" s="31"/>
      <c r="N21" s="252" t="s">
        <v>74</v>
      </c>
      <c r="O21" s="41">
        <v>3</v>
      </c>
      <c r="P21" s="268">
        <f t="shared" si="3"/>
        <v>4</v>
      </c>
      <c r="Q21" s="325">
        <f t="shared" si="0"/>
        <v>4</v>
      </c>
      <c r="R21" s="36"/>
      <c r="S21" s="31">
        <v>6</v>
      </c>
      <c r="T21" s="94">
        <v>5</v>
      </c>
      <c r="U21" s="329"/>
      <c r="V21" s="94">
        <v>3</v>
      </c>
      <c r="W21" s="36">
        <v>1</v>
      </c>
      <c r="X21" s="135">
        <v>1</v>
      </c>
      <c r="Y21" s="94">
        <v>1</v>
      </c>
      <c r="Z21" s="36"/>
      <c r="AA21" s="299">
        <v>1</v>
      </c>
      <c r="AB21" s="299">
        <v>1</v>
      </c>
      <c r="AC21" s="299" t="s">
        <v>74</v>
      </c>
      <c r="AD21" s="31">
        <v>3</v>
      </c>
      <c r="AE21" s="94">
        <v>3</v>
      </c>
      <c r="AF21" s="36">
        <v>2</v>
      </c>
      <c r="AG21" s="41">
        <v>3</v>
      </c>
      <c r="AH21" s="335">
        <f t="shared" si="4"/>
        <v>2.5</v>
      </c>
      <c r="AI21" s="183">
        <f t="shared" si="1"/>
        <v>3</v>
      </c>
      <c r="AJ21" s="183">
        <f t="shared" si="5"/>
        <v>3.5</v>
      </c>
    </row>
    <row r="22" spans="1:36" ht="12.75">
      <c r="A22" s="3">
        <f t="shared" si="2"/>
        <v>2.25</v>
      </c>
      <c r="B22" s="2">
        <v>20</v>
      </c>
      <c r="C22" s="204" t="s">
        <v>207</v>
      </c>
      <c r="D22" s="38"/>
      <c r="E22" s="37">
        <v>4</v>
      </c>
      <c r="F22" s="48">
        <v>1</v>
      </c>
      <c r="G22" s="135" t="s">
        <v>74</v>
      </c>
      <c r="H22" s="130" t="s">
        <v>218</v>
      </c>
      <c r="I22" s="159" t="s">
        <v>74</v>
      </c>
      <c r="J22" s="161">
        <v>5</v>
      </c>
      <c r="K22" s="94">
        <v>6</v>
      </c>
      <c r="L22" s="36">
        <v>1</v>
      </c>
      <c r="M22" s="31"/>
      <c r="N22" s="135">
        <v>2</v>
      </c>
      <c r="O22" s="41">
        <v>3</v>
      </c>
      <c r="P22" s="268">
        <f t="shared" si="3"/>
        <v>3.142857142857143</v>
      </c>
      <c r="Q22" s="325">
        <f t="shared" si="0"/>
        <v>3</v>
      </c>
      <c r="R22" s="36"/>
      <c r="S22" s="135">
        <v>2</v>
      </c>
      <c r="T22" s="94">
        <v>5</v>
      </c>
      <c r="U22" s="161">
        <v>1</v>
      </c>
      <c r="V22" s="94">
        <v>2</v>
      </c>
      <c r="W22" s="36">
        <v>1</v>
      </c>
      <c r="X22" s="135">
        <v>1</v>
      </c>
      <c r="Y22" s="94">
        <v>1</v>
      </c>
      <c r="Z22" s="36"/>
      <c r="AA22" s="299">
        <v>1</v>
      </c>
      <c r="AB22" s="299" t="s">
        <v>74</v>
      </c>
      <c r="AC22" s="299" t="s">
        <v>74</v>
      </c>
      <c r="AD22" s="31">
        <v>6</v>
      </c>
      <c r="AE22" s="94">
        <v>5</v>
      </c>
      <c r="AF22" s="161">
        <v>1</v>
      </c>
      <c r="AG22" s="146">
        <v>1</v>
      </c>
      <c r="AH22" s="335">
        <f t="shared" si="4"/>
        <v>2.25</v>
      </c>
      <c r="AI22" s="183">
        <f t="shared" si="1"/>
        <v>2</v>
      </c>
      <c r="AJ22" s="183">
        <f t="shared" si="5"/>
        <v>2.5</v>
      </c>
    </row>
    <row r="23" spans="1:36" ht="12.75">
      <c r="A23" s="3">
        <f t="shared" si="2"/>
        <v>1.7142857142857142</v>
      </c>
      <c r="B23" s="2">
        <v>21</v>
      </c>
      <c r="C23" s="204" t="s">
        <v>113</v>
      </c>
      <c r="D23" s="38"/>
      <c r="E23" s="37">
        <v>5</v>
      </c>
      <c r="F23" s="48">
        <v>4</v>
      </c>
      <c r="G23" s="135" t="s">
        <v>74</v>
      </c>
      <c r="H23" s="129" t="s">
        <v>219</v>
      </c>
      <c r="I23" s="203">
        <v>1</v>
      </c>
      <c r="J23" s="161">
        <v>1</v>
      </c>
      <c r="K23" s="94">
        <v>3</v>
      </c>
      <c r="L23" s="36"/>
      <c r="M23" s="31"/>
      <c r="N23" s="31">
        <v>3</v>
      </c>
      <c r="O23" s="41">
        <v>2</v>
      </c>
      <c r="P23" s="268">
        <f t="shared" si="3"/>
        <v>2.7142857142857144</v>
      </c>
      <c r="Q23" s="325">
        <f t="shared" si="0"/>
        <v>3</v>
      </c>
      <c r="R23" s="36"/>
      <c r="S23" s="135">
        <v>2</v>
      </c>
      <c r="T23" s="45">
        <v>3</v>
      </c>
      <c r="U23" s="36">
        <v>1</v>
      </c>
      <c r="V23" s="94">
        <v>1</v>
      </c>
      <c r="W23" s="36">
        <v>1</v>
      </c>
      <c r="X23" s="135">
        <v>1</v>
      </c>
      <c r="Y23" s="94">
        <v>2</v>
      </c>
      <c r="Z23" s="36"/>
      <c r="AA23" s="299">
        <v>1</v>
      </c>
      <c r="AB23" s="299">
        <v>1</v>
      </c>
      <c r="AC23" s="299">
        <v>1</v>
      </c>
      <c r="AD23" s="135">
        <v>2</v>
      </c>
      <c r="AE23" s="45">
        <v>3</v>
      </c>
      <c r="AF23" s="36">
        <v>2</v>
      </c>
      <c r="AG23" s="146">
        <v>3</v>
      </c>
      <c r="AH23" s="335">
        <f t="shared" si="4"/>
        <v>1.7142857142857142</v>
      </c>
      <c r="AI23" s="183">
        <f t="shared" si="1"/>
        <v>2</v>
      </c>
      <c r="AJ23" s="183">
        <f t="shared" si="5"/>
        <v>2.5</v>
      </c>
    </row>
    <row r="24" spans="1:36" ht="12.75">
      <c r="A24" s="3">
        <f t="shared" si="2"/>
        <v>2.1818181818181817</v>
      </c>
      <c r="B24" s="2">
        <v>22</v>
      </c>
      <c r="C24" s="204" t="s">
        <v>208</v>
      </c>
      <c r="D24" s="38"/>
      <c r="E24" s="37">
        <v>3</v>
      </c>
      <c r="F24" s="48"/>
      <c r="G24" s="135" t="s">
        <v>74</v>
      </c>
      <c r="H24" s="85">
        <v>8</v>
      </c>
      <c r="I24" s="159" t="s">
        <v>74</v>
      </c>
      <c r="J24" s="161">
        <v>1</v>
      </c>
      <c r="K24" s="272">
        <v>3</v>
      </c>
      <c r="L24" s="36"/>
      <c r="M24" s="31"/>
      <c r="N24" s="135">
        <v>2</v>
      </c>
      <c r="O24" s="41">
        <v>1</v>
      </c>
      <c r="P24" s="268">
        <f t="shared" si="3"/>
        <v>3</v>
      </c>
      <c r="Q24" s="325">
        <f t="shared" si="0"/>
        <v>3</v>
      </c>
      <c r="R24" s="36"/>
      <c r="S24" s="31">
        <v>3</v>
      </c>
      <c r="T24" s="326" t="s">
        <v>74</v>
      </c>
      <c r="U24" s="329"/>
      <c r="V24" s="326" t="s">
        <v>74</v>
      </c>
      <c r="W24" s="36">
        <v>1</v>
      </c>
      <c r="X24" s="135">
        <v>1</v>
      </c>
      <c r="Y24" s="94">
        <v>1</v>
      </c>
      <c r="Z24" s="36"/>
      <c r="AA24" s="299">
        <v>1</v>
      </c>
      <c r="AB24" s="299">
        <v>1</v>
      </c>
      <c r="AC24" s="299">
        <v>1</v>
      </c>
      <c r="AD24" s="31">
        <v>8</v>
      </c>
      <c r="AE24" s="94">
        <v>5</v>
      </c>
      <c r="AF24" s="161">
        <v>1</v>
      </c>
      <c r="AG24" s="146">
        <v>1</v>
      </c>
      <c r="AH24" s="335">
        <f t="shared" si="4"/>
        <v>2.1818181818181817</v>
      </c>
      <c r="AI24" s="183">
        <f t="shared" si="1"/>
        <v>2</v>
      </c>
      <c r="AJ24" s="183">
        <f t="shared" si="5"/>
        <v>2.5</v>
      </c>
    </row>
    <row r="25" spans="1:36" ht="12.75">
      <c r="A25" s="3">
        <f t="shared" si="2"/>
        <v>5.538461538461538</v>
      </c>
      <c r="B25" s="2">
        <v>23</v>
      </c>
      <c r="C25" s="204" t="s">
        <v>112</v>
      </c>
      <c r="D25" s="38"/>
      <c r="E25" s="37">
        <v>6</v>
      </c>
      <c r="F25" s="48"/>
      <c r="G25" s="135" t="s">
        <v>74</v>
      </c>
      <c r="H25" s="85">
        <v>9</v>
      </c>
      <c r="I25" s="82">
        <v>6</v>
      </c>
      <c r="J25" s="161">
        <v>4</v>
      </c>
      <c r="K25" s="94">
        <v>4</v>
      </c>
      <c r="L25" s="36">
        <v>9</v>
      </c>
      <c r="M25" s="31">
        <v>9</v>
      </c>
      <c r="N25" s="252" t="s">
        <v>74</v>
      </c>
      <c r="O25" s="41">
        <v>8</v>
      </c>
      <c r="P25" s="268">
        <f t="shared" si="3"/>
        <v>6.875</v>
      </c>
      <c r="Q25" s="325">
        <f t="shared" si="0"/>
        <v>7</v>
      </c>
      <c r="R25" s="36"/>
      <c r="S25" s="31">
        <v>6</v>
      </c>
      <c r="T25" s="45">
        <v>7</v>
      </c>
      <c r="U25" s="36"/>
      <c r="V25" s="45">
        <v>8</v>
      </c>
      <c r="W25" s="36"/>
      <c r="X25" s="135">
        <v>2</v>
      </c>
      <c r="Y25" s="45">
        <v>5</v>
      </c>
      <c r="Z25" s="36">
        <v>9</v>
      </c>
      <c r="AA25" s="299">
        <v>4</v>
      </c>
      <c r="AB25" s="299">
        <v>3</v>
      </c>
      <c r="AC25" s="299">
        <v>3</v>
      </c>
      <c r="AD25" s="31">
        <v>9</v>
      </c>
      <c r="AE25" s="94">
        <v>5</v>
      </c>
      <c r="AF25" s="36">
        <v>4</v>
      </c>
      <c r="AG25" s="269">
        <v>7</v>
      </c>
      <c r="AH25" s="335">
        <f t="shared" si="4"/>
        <v>5.538461538461538</v>
      </c>
      <c r="AI25" s="183">
        <f t="shared" si="1"/>
        <v>6</v>
      </c>
      <c r="AJ25" s="183">
        <f t="shared" si="5"/>
        <v>6.5</v>
      </c>
    </row>
    <row r="26" spans="1:36" ht="12.75">
      <c r="A26" s="3">
        <f t="shared" si="2"/>
        <v>3.2</v>
      </c>
      <c r="B26" s="2">
        <v>24</v>
      </c>
      <c r="C26" s="204" t="s">
        <v>110</v>
      </c>
      <c r="D26" s="38"/>
      <c r="E26" s="37">
        <v>3</v>
      </c>
      <c r="F26" s="48">
        <v>2</v>
      </c>
      <c r="G26" s="135" t="s">
        <v>74</v>
      </c>
      <c r="H26" s="31">
        <v>5</v>
      </c>
      <c r="I26" s="146">
        <v>1</v>
      </c>
      <c r="J26" s="161">
        <v>1</v>
      </c>
      <c r="K26" s="272">
        <v>3</v>
      </c>
      <c r="L26" s="36"/>
      <c r="M26" s="31"/>
      <c r="N26" s="31">
        <v>3</v>
      </c>
      <c r="O26" s="41">
        <v>5</v>
      </c>
      <c r="P26" s="268">
        <f t="shared" si="3"/>
        <v>2.875</v>
      </c>
      <c r="Q26" s="325">
        <f t="shared" si="0"/>
        <v>3</v>
      </c>
      <c r="R26" s="36"/>
      <c r="S26" s="135">
        <v>2</v>
      </c>
      <c r="T26" s="326" t="s">
        <v>74</v>
      </c>
      <c r="U26" s="161">
        <v>1</v>
      </c>
      <c r="V26" s="326" t="s">
        <v>74</v>
      </c>
      <c r="W26" s="36"/>
      <c r="X26" s="252" t="s">
        <v>74</v>
      </c>
      <c r="Y26" s="94">
        <v>2</v>
      </c>
      <c r="Z26" s="36"/>
      <c r="AA26" s="299">
        <v>3</v>
      </c>
      <c r="AB26" s="299">
        <v>3</v>
      </c>
      <c r="AC26" s="299">
        <v>3</v>
      </c>
      <c r="AD26" s="31">
        <v>6</v>
      </c>
      <c r="AE26" s="94">
        <v>5</v>
      </c>
      <c r="AF26" s="161">
        <v>4</v>
      </c>
      <c r="AG26" s="146">
        <v>3</v>
      </c>
      <c r="AH26" s="335">
        <f t="shared" si="4"/>
        <v>3.2</v>
      </c>
      <c r="AI26" s="183">
        <f t="shared" si="1"/>
        <v>3</v>
      </c>
      <c r="AJ26" s="183">
        <f t="shared" si="5"/>
        <v>3</v>
      </c>
    </row>
    <row r="27" spans="1:36" ht="12.75">
      <c r="A27" s="3">
        <f t="shared" si="2"/>
        <v>4.8</v>
      </c>
      <c r="B27" s="2">
        <v>25</v>
      </c>
      <c r="C27" s="205" t="s">
        <v>209</v>
      </c>
      <c r="D27" s="38"/>
      <c r="E27" s="37">
        <v>5</v>
      </c>
      <c r="F27" s="48"/>
      <c r="G27" s="5">
        <v>3</v>
      </c>
      <c r="H27" s="31">
        <v>4</v>
      </c>
      <c r="I27" s="41">
        <v>4</v>
      </c>
      <c r="J27" s="36">
        <v>7</v>
      </c>
      <c r="K27" s="94">
        <v>4</v>
      </c>
      <c r="L27" s="36">
        <v>9</v>
      </c>
      <c r="M27" s="31"/>
      <c r="N27" s="135">
        <v>2</v>
      </c>
      <c r="O27" s="41">
        <v>4</v>
      </c>
      <c r="P27" s="268">
        <f t="shared" si="3"/>
        <v>4.666666666666667</v>
      </c>
      <c r="Q27" s="325">
        <f t="shared" si="0"/>
        <v>5</v>
      </c>
      <c r="R27" s="36">
        <v>7</v>
      </c>
      <c r="S27" s="31">
        <v>5</v>
      </c>
      <c r="T27" s="45">
        <v>5</v>
      </c>
      <c r="U27" s="36">
        <v>7</v>
      </c>
      <c r="V27" s="45">
        <v>3</v>
      </c>
      <c r="W27" s="36">
        <v>7</v>
      </c>
      <c r="X27" s="31">
        <v>6</v>
      </c>
      <c r="Y27" s="45">
        <v>5</v>
      </c>
      <c r="Z27" s="36"/>
      <c r="AA27" s="299">
        <v>3</v>
      </c>
      <c r="AB27" s="299">
        <v>3</v>
      </c>
      <c r="AC27" s="299">
        <v>4</v>
      </c>
      <c r="AD27" s="135">
        <v>1</v>
      </c>
      <c r="AE27" s="45">
        <v>8</v>
      </c>
      <c r="AF27" s="36">
        <v>3</v>
      </c>
      <c r="AG27" s="41">
        <v>5</v>
      </c>
      <c r="AH27" s="335">
        <f t="shared" si="4"/>
        <v>4.8</v>
      </c>
      <c r="AI27" s="183">
        <f t="shared" si="1"/>
        <v>5</v>
      </c>
      <c r="AJ27" s="183">
        <f t="shared" si="5"/>
        <v>5</v>
      </c>
    </row>
    <row r="28" spans="1:36" ht="13.5" thickBot="1">
      <c r="A28" s="3">
        <f t="shared" si="2"/>
        <v>3.0714285714285716</v>
      </c>
      <c r="B28" s="2">
        <v>26</v>
      </c>
      <c r="C28" s="205" t="s">
        <v>121</v>
      </c>
      <c r="D28" s="38"/>
      <c r="E28" s="37">
        <v>6</v>
      </c>
      <c r="F28" s="48">
        <v>6</v>
      </c>
      <c r="G28" s="5">
        <v>6</v>
      </c>
      <c r="H28" s="130" t="s">
        <v>220</v>
      </c>
      <c r="I28" s="145" t="s">
        <v>74</v>
      </c>
      <c r="J28" s="161">
        <v>1</v>
      </c>
      <c r="K28" s="272">
        <v>3</v>
      </c>
      <c r="L28" s="36">
        <v>1</v>
      </c>
      <c r="M28" s="31"/>
      <c r="N28" s="31">
        <v>4</v>
      </c>
      <c r="O28" s="41">
        <v>5</v>
      </c>
      <c r="P28" s="268">
        <f t="shared" si="3"/>
        <v>4</v>
      </c>
      <c r="Q28" s="325">
        <f t="shared" si="0"/>
        <v>4</v>
      </c>
      <c r="R28" s="36"/>
      <c r="S28" s="135">
        <v>4</v>
      </c>
      <c r="T28" s="45">
        <v>5</v>
      </c>
      <c r="U28" s="36"/>
      <c r="V28" s="45">
        <v>5</v>
      </c>
      <c r="W28" s="36">
        <v>1</v>
      </c>
      <c r="X28" s="31">
        <v>9</v>
      </c>
      <c r="Y28" s="94">
        <v>1</v>
      </c>
      <c r="Z28" s="36">
        <v>1</v>
      </c>
      <c r="AA28" s="299">
        <v>1</v>
      </c>
      <c r="AB28" s="299">
        <v>1</v>
      </c>
      <c r="AC28" s="299">
        <v>1</v>
      </c>
      <c r="AD28" s="31">
        <v>3</v>
      </c>
      <c r="AE28" s="94">
        <v>5</v>
      </c>
      <c r="AF28" s="36">
        <v>2</v>
      </c>
      <c r="AG28" s="146">
        <v>4</v>
      </c>
      <c r="AH28" s="352">
        <f t="shared" si="4"/>
        <v>3.0714285714285716</v>
      </c>
      <c r="AI28" s="348">
        <f t="shared" si="1"/>
        <v>3</v>
      </c>
      <c r="AJ28" s="348">
        <f t="shared" si="5"/>
        <v>3.5</v>
      </c>
    </row>
    <row r="29" spans="2:36" s="99" customFormat="1" ht="13.5" thickBot="1">
      <c r="B29" s="100"/>
      <c r="C29" s="180" t="s">
        <v>0</v>
      </c>
      <c r="D29" s="127">
        <f>AVERAGE(D3:D28)</f>
        <v>7</v>
      </c>
      <c r="E29" s="104">
        <f>AVERAGE(E3:E28)</f>
        <v>3.9615384615384617</v>
      </c>
      <c r="F29" s="102">
        <f>AVERAGE(F3:F28)</f>
        <v>4.090909090909091</v>
      </c>
      <c r="G29" s="103">
        <f>AVERAGE(G3:G28)</f>
        <v>4.277777777777778</v>
      </c>
      <c r="H29" s="103">
        <f aca="true" t="shared" si="6" ref="H29:AJ29">AVERAGE(H3:H28)</f>
        <v>4.333333333333333</v>
      </c>
      <c r="I29" s="104">
        <f t="shared" si="6"/>
        <v>3.909090909090909</v>
      </c>
      <c r="J29" s="127">
        <f t="shared" si="6"/>
        <v>3.1153846153846154</v>
      </c>
      <c r="K29" s="213">
        <f t="shared" si="6"/>
        <v>4.038461538461538</v>
      </c>
      <c r="L29" s="127">
        <f t="shared" si="6"/>
        <v>5.230769230769231</v>
      </c>
      <c r="M29" s="103"/>
      <c r="N29" s="103">
        <f t="shared" si="6"/>
        <v>3.5238095238095237</v>
      </c>
      <c r="O29" s="104">
        <f t="shared" si="6"/>
        <v>4.52</v>
      </c>
      <c r="P29" s="294">
        <f>AVERAGE(P3:P28)</f>
        <v>4.065743978243978</v>
      </c>
      <c r="Q29" s="308">
        <f>AVERAGE(Q3:Q28)</f>
        <v>4.230769230769231</v>
      </c>
      <c r="R29" s="127">
        <f t="shared" si="6"/>
        <v>8</v>
      </c>
      <c r="S29" s="103">
        <f t="shared" si="6"/>
        <v>4.153846153846154</v>
      </c>
      <c r="T29" s="213">
        <f t="shared" si="6"/>
        <v>4.6521739130434785</v>
      </c>
      <c r="U29" s="127">
        <f t="shared" si="6"/>
        <v>4.111111111111111</v>
      </c>
      <c r="V29" s="213">
        <f t="shared" si="6"/>
        <v>3.6956521739130435</v>
      </c>
      <c r="W29" s="127">
        <f t="shared" si="6"/>
        <v>3.357142857142857</v>
      </c>
      <c r="X29" s="127">
        <f t="shared" si="6"/>
        <v>3.608695652173913</v>
      </c>
      <c r="Y29" s="126">
        <f t="shared" si="6"/>
        <v>3.230769230769231</v>
      </c>
      <c r="Z29" s="127">
        <f t="shared" si="6"/>
        <v>3.2857142857142856</v>
      </c>
      <c r="AA29" s="127">
        <f t="shared" si="6"/>
        <v>2.130434782608696</v>
      </c>
      <c r="AB29" s="127">
        <f t="shared" si="6"/>
        <v>2.739130434782609</v>
      </c>
      <c r="AC29" s="127">
        <f t="shared" si="6"/>
        <v>2</v>
      </c>
      <c r="AD29" s="103">
        <f t="shared" si="6"/>
        <v>4.52</v>
      </c>
      <c r="AE29" s="213">
        <f t="shared" si="6"/>
        <v>5.32</v>
      </c>
      <c r="AF29" s="127">
        <f t="shared" si="6"/>
        <v>2.8076923076923075</v>
      </c>
      <c r="AG29" s="104">
        <f t="shared" si="6"/>
        <v>3.32</v>
      </c>
      <c r="AH29" s="350">
        <f t="shared" si="6"/>
        <v>3.5970796831373755</v>
      </c>
      <c r="AI29" s="347">
        <f t="shared" si="6"/>
        <v>3.6153846153846154</v>
      </c>
      <c r="AJ29" s="347">
        <f t="shared" si="6"/>
        <v>3.923076923076923</v>
      </c>
    </row>
    <row r="30" spans="2:36" s="99" customFormat="1" ht="13.5" thickBot="1">
      <c r="B30" s="100"/>
      <c r="C30" s="109"/>
      <c r="D30" s="179" t="s">
        <v>197</v>
      </c>
      <c r="E30" s="112" t="s">
        <v>82</v>
      </c>
      <c r="F30" s="110" t="s">
        <v>197</v>
      </c>
      <c r="G30" s="112" t="s">
        <v>198</v>
      </c>
      <c r="H30" s="110" t="s">
        <v>215</v>
      </c>
      <c r="I30" s="112" t="s">
        <v>71</v>
      </c>
      <c r="J30" s="113" t="s">
        <v>273</v>
      </c>
      <c r="K30" s="112" t="s">
        <v>274</v>
      </c>
      <c r="L30" s="112" t="s">
        <v>197</v>
      </c>
      <c r="M30" s="110" t="s">
        <v>197</v>
      </c>
      <c r="N30" s="110" t="s">
        <v>297</v>
      </c>
      <c r="O30" s="112" t="s">
        <v>289</v>
      </c>
      <c r="P30" s="266"/>
      <c r="Q30" s="265"/>
      <c r="R30" s="112" t="s">
        <v>197</v>
      </c>
      <c r="S30" s="110" t="s">
        <v>303</v>
      </c>
      <c r="T30" s="110" t="s">
        <v>301</v>
      </c>
      <c r="U30" s="110" t="s">
        <v>197</v>
      </c>
      <c r="V30" s="110" t="s">
        <v>308</v>
      </c>
      <c r="W30" s="110" t="s">
        <v>197</v>
      </c>
      <c r="X30" s="110" t="s">
        <v>309</v>
      </c>
      <c r="Y30" s="110" t="s">
        <v>372</v>
      </c>
      <c r="Z30" s="110" t="s">
        <v>197</v>
      </c>
      <c r="AA30" s="110" t="s">
        <v>380</v>
      </c>
      <c r="AB30" s="110" t="s">
        <v>43</v>
      </c>
      <c r="AC30" s="110" t="s">
        <v>40</v>
      </c>
      <c r="AD30" s="110" t="s">
        <v>377</v>
      </c>
      <c r="AE30" s="110" t="s">
        <v>311</v>
      </c>
      <c r="AF30" s="110" t="s">
        <v>379</v>
      </c>
      <c r="AG30" s="112" t="s">
        <v>313</v>
      </c>
      <c r="AH30" s="116"/>
      <c r="AI30" s="117"/>
      <c r="AJ30" s="257"/>
    </row>
    <row r="31" spans="2:36" s="118" customFormat="1" ht="13.5" thickBot="1">
      <c r="B31" s="100"/>
      <c r="C31" s="119" t="s">
        <v>32</v>
      </c>
      <c r="D31" s="442" t="s">
        <v>83</v>
      </c>
      <c r="E31" s="441"/>
      <c r="F31" s="442" t="s">
        <v>84</v>
      </c>
      <c r="G31" s="440"/>
      <c r="H31" s="440"/>
      <c r="I31" s="440"/>
      <c r="J31" s="442" t="s">
        <v>272</v>
      </c>
      <c r="K31" s="441"/>
      <c r="L31" s="442" t="s">
        <v>296</v>
      </c>
      <c r="M31" s="440"/>
      <c r="N31" s="440"/>
      <c r="O31" s="441"/>
      <c r="P31" s="120">
        <f>Q31/$B$28</f>
        <v>1</v>
      </c>
      <c r="Q31" s="121">
        <f>COUNTIF(Q3:Q28,"&gt;2")</f>
        <v>26</v>
      </c>
      <c r="R31" s="442" t="s">
        <v>304</v>
      </c>
      <c r="S31" s="440"/>
      <c r="T31" s="441"/>
      <c r="U31" s="442" t="s">
        <v>364</v>
      </c>
      <c r="V31" s="441"/>
      <c r="W31" s="442" t="s">
        <v>376</v>
      </c>
      <c r="X31" s="440"/>
      <c r="Y31" s="441"/>
      <c r="Z31" s="442" t="s">
        <v>378</v>
      </c>
      <c r="AA31" s="440"/>
      <c r="AB31" s="440"/>
      <c r="AC31" s="440"/>
      <c r="AD31" s="440"/>
      <c r="AE31" s="441"/>
      <c r="AF31" s="442" t="s">
        <v>375</v>
      </c>
      <c r="AG31" s="441"/>
      <c r="AH31" s="120">
        <f>AI31/$B$28</f>
        <v>0.8846153846153846</v>
      </c>
      <c r="AI31" s="121">
        <f>COUNTIF(AI3:AI28,"&gt;2")</f>
        <v>23</v>
      </c>
      <c r="AJ31" s="257"/>
    </row>
    <row r="32" spans="2:36" s="118" customFormat="1" ht="12.75">
      <c r="B32" s="100"/>
      <c r="C32" s="119" t="s">
        <v>33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0">
        <f>Q32/$B$28</f>
        <v>0.19230769230769232</v>
      </c>
      <c r="Q32" s="121">
        <f>COUNTIF(Q3:Q28,"&gt;5")</f>
        <v>5</v>
      </c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0">
        <f>AI32/$B$28</f>
        <v>0</v>
      </c>
      <c r="AI32" s="121">
        <f>COUNTIF(AI3:AI28,"&gt;6")</f>
        <v>0</v>
      </c>
      <c r="AJ32" s="257"/>
    </row>
    <row r="34" ht="12.75">
      <c r="C34" t="s">
        <v>275</v>
      </c>
    </row>
  </sheetData>
  <sheetProtection/>
  <mergeCells count="9">
    <mergeCell ref="Z31:AE31"/>
    <mergeCell ref="AF31:AG31"/>
    <mergeCell ref="W31:Y31"/>
    <mergeCell ref="D31:E31"/>
    <mergeCell ref="F31:I31"/>
    <mergeCell ref="J31:K31"/>
    <mergeCell ref="L31:O31"/>
    <mergeCell ref="R31:T31"/>
    <mergeCell ref="U31:V31"/>
  </mergeCells>
  <conditionalFormatting sqref="P3:P28">
    <cfRule type="cellIs" priority="15" dxfId="1" operator="lessThan" stopIfTrue="1">
      <formula>2.5</formula>
    </cfRule>
    <cfRule type="cellIs" priority="16" dxfId="0" operator="greaterThanOrEqual" stopIfTrue="1">
      <formula>5.5</formula>
    </cfRule>
  </conditionalFormatting>
  <conditionalFormatting sqref="Q3:Q28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P29:Q29">
    <cfRule type="cellIs" priority="11" dxfId="1" operator="lessThan" stopIfTrue="1">
      <formula>2.5</formula>
    </cfRule>
    <cfRule type="cellIs" priority="12" dxfId="0" operator="greaterThanOrEqual" stopIfTrue="1">
      <formula>5.5</formula>
    </cfRule>
  </conditionalFormatting>
  <conditionalFormatting sqref="AH3:AH5">
    <cfRule type="cellIs" priority="5" dxfId="1" operator="lessThan" stopIfTrue="1">
      <formula>2.5</formula>
    </cfRule>
    <cfRule type="cellIs" priority="6" dxfId="0" operator="greaterThanOrEqual" stopIfTrue="1">
      <formula>5.5</formula>
    </cfRule>
  </conditionalFormatting>
  <conditionalFormatting sqref="AI3:AJ28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conditionalFormatting sqref="AH6:AH28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34"/>
  <sheetViews>
    <sheetView zoomScalePageLayoutView="0" workbookViewId="0" topLeftCell="A1">
      <pane xSplit="3" ySplit="2" topLeftCell="R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C10" sqref="C10"/>
    </sheetView>
  </sheetViews>
  <sheetFormatPr defaultColWidth="9.00390625" defaultRowHeight="12.75"/>
  <cols>
    <col min="1" max="1" width="12.625" style="0" hidden="1" customWidth="1"/>
    <col min="2" max="2" width="3.00390625" style="0" bestFit="1" customWidth="1"/>
    <col min="3" max="3" width="21.875" style="0" customWidth="1"/>
    <col min="4" max="5" width="5.875" style="0" customWidth="1"/>
    <col min="6" max="7" width="5.625" style="0" customWidth="1"/>
    <col min="8" max="9" width="5.375" style="0" customWidth="1"/>
    <col min="10" max="11" width="6.25390625" style="0" customWidth="1"/>
    <col min="12" max="16" width="5.375" style="0" customWidth="1"/>
    <col min="17" max="17" width="9.875" style="3" customWidth="1"/>
    <col min="18" max="18" width="9.125" style="125" customWidth="1"/>
    <col min="19" max="19" width="5.375" style="0" customWidth="1"/>
    <col min="20" max="20" width="6.625" style="0" customWidth="1"/>
    <col min="21" max="22" width="5.375" style="0" customWidth="1"/>
    <col min="23" max="23" width="6.25390625" style="0" customWidth="1"/>
    <col min="24" max="28" width="5.375" style="0" customWidth="1"/>
    <col min="29" max="30" width="6.00390625" style="0" customWidth="1"/>
    <col min="31" max="31" width="9.875" style="3" customWidth="1"/>
    <col min="32" max="33" width="9.125" style="125" customWidth="1"/>
  </cols>
  <sheetData>
    <row r="1" spans="4:54" ht="16.5" thickBot="1">
      <c r="D1" s="200" t="s">
        <v>80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4"/>
      <c r="R1" s="123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24"/>
      <c r="AF1" s="123"/>
      <c r="AG1" s="12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25"/>
      <c r="AX1" s="26"/>
      <c r="BA1" s="6"/>
      <c r="BB1" s="7"/>
    </row>
    <row r="2" spans="2:50" ht="16.5" customHeight="1" thickBot="1">
      <c r="B2" s="27" t="s">
        <v>47</v>
      </c>
      <c r="C2" s="29" t="s">
        <v>23</v>
      </c>
      <c r="D2" s="33"/>
      <c r="E2" s="50">
        <v>44078</v>
      </c>
      <c r="F2" s="33"/>
      <c r="G2" s="62">
        <v>44096</v>
      </c>
      <c r="H2" s="62">
        <v>44099</v>
      </c>
      <c r="I2" s="34">
        <v>44105</v>
      </c>
      <c r="J2" s="33">
        <v>44132</v>
      </c>
      <c r="K2" s="34">
        <v>44133</v>
      </c>
      <c r="L2" s="260"/>
      <c r="M2" s="140">
        <v>44174</v>
      </c>
      <c r="N2" s="251">
        <v>44175</v>
      </c>
      <c r="O2" s="33"/>
      <c r="P2" s="62">
        <v>44188</v>
      </c>
      <c r="Q2" s="134" t="s">
        <v>21</v>
      </c>
      <c r="R2" s="124" t="s">
        <v>81</v>
      </c>
      <c r="S2" s="50">
        <v>44214</v>
      </c>
      <c r="T2" s="81">
        <v>44228</v>
      </c>
      <c r="U2" s="33"/>
      <c r="V2" s="62">
        <v>44308</v>
      </c>
      <c r="W2" s="50">
        <v>44313</v>
      </c>
      <c r="X2" s="33">
        <v>44322</v>
      </c>
      <c r="Y2" s="51">
        <v>44336</v>
      </c>
      <c r="Z2" s="46">
        <v>44343</v>
      </c>
      <c r="AA2" s="50">
        <v>44344</v>
      </c>
      <c r="AB2" s="73"/>
      <c r="AC2" s="140">
        <v>44354</v>
      </c>
      <c r="AD2" s="64">
        <v>44357</v>
      </c>
      <c r="AE2" s="262" t="s">
        <v>21</v>
      </c>
      <c r="AF2" s="124" t="s">
        <v>305</v>
      </c>
      <c r="AG2" s="124" t="s">
        <v>306</v>
      </c>
      <c r="AQ2" s="13"/>
      <c r="AR2" s="13"/>
      <c r="AS2" s="13"/>
      <c r="AT2" s="13"/>
      <c r="AU2" s="13"/>
      <c r="AV2" s="13"/>
      <c r="AW2" s="13"/>
      <c r="AX2" s="13"/>
    </row>
    <row r="3" spans="1:36" ht="12.75">
      <c r="A3" s="3">
        <f>AE3</f>
        <v>5.571428571428571</v>
      </c>
      <c r="B3" s="2">
        <v>1</v>
      </c>
      <c r="C3" s="2" t="s">
        <v>96</v>
      </c>
      <c r="D3" s="56"/>
      <c r="E3" s="93">
        <v>6</v>
      </c>
      <c r="F3" s="56"/>
      <c r="G3" s="79">
        <v>4</v>
      </c>
      <c r="H3" s="154">
        <v>5</v>
      </c>
      <c r="I3" s="231">
        <v>1</v>
      </c>
      <c r="J3" s="55">
        <v>3</v>
      </c>
      <c r="K3" s="249">
        <v>4</v>
      </c>
      <c r="L3" s="55"/>
      <c r="M3" s="261" t="s">
        <v>74</v>
      </c>
      <c r="N3" s="248" t="s">
        <v>74</v>
      </c>
      <c r="O3" s="47"/>
      <c r="P3" s="44">
        <v>6</v>
      </c>
      <c r="Q3" s="268">
        <f>AVERAGE(D3:P3)</f>
        <v>4.142857142857143</v>
      </c>
      <c r="R3" s="183">
        <f aca="true" t="shared" si="0" ref="R3:R28">ROUND(Q3,0)</f>
        <v>4</v>
      </c>
      <c r="S3" s="95">
        <v>8</v>
      </c>
      <c r="T3" s="68">
        <v>8</v>
      </c>
      <c r="U3" s="61"/>
      <c r="V3" s="256" t="s">
        <v>74</v>
      </c>
      <c r="W3" s="249">
        <v>4</v>
      </c>
      <c r="X3" s="234" t="s">
        <v>74</v>
      </c>
      <c r="Y3" s="355">
        <v>1</v>
      </c>
      <c r="Z3" s="47">
        <v>9</v>
      </c>
      <c r="AA3" s="44">
        <v>8</v>
      </c>
      <c r="AB3" s="55"/>
      <c r="AC3" s="139">
        <v>1</v>
      </c>
      <c r="AD3" s="248" t="s">
        <v>74</v>
      </c>
      <c r="AE3" s="335">
        <f aca="true" t="shared" si="1" ref="AE3:AE28">AVERAGE(S3:AD3)</f>
        <v>5.571428571428571</v>
      </c>
      <c r="AF3" s="183">
        <f aca="true" t="shared" si="2" ref="AF3:AF28">ROUND(AE3,0)</f>
        <v>6</v>
      </c>
      <c r="AG3" s="183">
        <f aca="true" t="shared" si="3" ref="AG3:AG28">AVERAGE(R3,AF3)</f>
        <v>5</v>
      </c>
      <c r="AH3" s="1" t="s">
        <v>27</v>
      </c>
      <c r="AI3" s="1">
        <f>COUNTIF(AF3:AF28,"&gt;8")</f>
        <v>3</v>
      </c>
      <c r="AJ3" s="17">
        <f>AI3/$B$28</f>
        <v>0.11538461538461539</v>
      </c>
    </row>
    <row r="4" spans="1:36" ht="12.75">
      <c r="A4" s="3">
        <f aca="true" t="shared" si="4" ref="A4:A28">AE4</f>
        <v>7.454545454545454</v>
      </c>
      <c r="B4" s="2">
        <v>2</v>
      </c>
      <c r="C4" s="2" t="s">
        <v>103</v>
      </c>
      <c r="D4" s="38"/>
      <c r="E4" s="37">
        <v>6</v>
      </c>
      <c r="F4" s="38"/>
      <c r="G4" s="135" t="s">
        <v>74</v>
      </c>
      <c r="H4" s="98" t="s">
        <v>74</v>
      </c>
      <c r="I4" s="41">
        <v>3</v>
      </c>
      <c r="J4" s="148" t="s">
        <v>74</v>
      </c>
      <c r="K4" s="94">
        <v>6</v>
      </c>
      <c r="L4" s="36"/>
      <c r="M4" s="135">
        <v>2</v>
      </c>
      <c r="N4" s="41">
        <v>9</v>
      </c>
      <c r="O4" s="49"/>
      <c r="P4" s="45">
        <v>10</v>
      </c>
      <c r="Q4" s="268">
        <f aca="true" t="shared" si="5" ref="Q4:Q28">AVERAGE(D4:P4)</f>
        <v>6</v>
      </c>
      <c r="R4" s="183">
        <f t="shared" si="0"/>
        <v>6</v>
      </c>
      <c r="S4" s="45">
        <v>8</v>
      </c>
      <c r="T4" s="42">
        <v>6</v>
      </c>
      <c r="U4" s="49"/>
      <c r="V4" s="31">
        <v>8</v>
      </c>
      <c r="W4" s="45">
        <v>7</v>
      </c>
      <c r="X4" s="36">
        <v>8</v>
      </c>
      <c r="Y4" s="52">
        <v>5</v>
      </c>
      <c r="Z4" s="49">
        <v>8</v>
      </c>
      <c r="AA4" s="45">
        <v>9</v>
      </c>
      <c r="AB4" s="36">
        <v>9</v>
      </c>
      <c r="AC4" s="31">
        <v>6</v>
      </c>
      <c r="AD4" s="41">
        <v>8</v>
      </c>
      <c r="AE4" s="335">
        <f t="shared" si="1"/>
        <v>7.454545454545454</v>
      </c>
      <c r="AF4" s="183">
        <v>8</v>
      </c>
      <c r="AG4" s="183">
        <f t="shared" si="3"/>
        <v>7</v>
      </c>
      <c r="AH4" s="1" t="s">
        <v>28</v>
      </c>
      <c r="AI4" s="18">
        <f>COUNTIF(AF3:AF28,7)+COUNTIF(AF3:AF28,8)+COUNTIF(AF3:AF28,6)</f>
        <v>16</v>
      </c>
      <c r="AJ4" s="17">
        <f>AI4/$B$28</f>
        <v>0.6153846153846154</v>
      </c>
    </row>
    <row r="5" spans="1:36" ht="12.75">
      <c r="A5" s="3">
        <f t="shared" si="4"/>
        <v>2.8</v>
      </c>
      <c r="B5" s="2">
        <v>3</v>
      </c>
      <c r="C5" s="2" t="s">
        <v>93</v>
      </c>
      <c r="D5" s="38"/>
      <c r="E5" s="146">
        <v>1</v>
      </c>
      <c r="F5" s="38"/>
      <c r="G5" s="5">
        <v>3</v>
      </c>
      <c r="H5" s="98" t="s">
        <v>74</v>
      </c>
      <c r="I5" s="155" t="s">
        <v>74</v>
      </c>
      <c r="J5" s="161">
        <v>1</v>
      </c>
      <c r="K5" s="94">
        <v>3</v>
      </c>
      <c r="L5" s="36"/>
      <c r="M5" s="31">
        <v>4</v>
      </c>
      <c r="N5" s="41">
        <v>7</v>
      </c>
      <c r="O5" s="49"/>
      <c r="P5" s="45">
        <v>8</v>
      </c>
      <c r="Q5" s="268">
        <f t="shared" si="5"/>
        <v>3.857142857142857</v>
      </c>
      <c r="R5" s="183">
        <f t="shared" si="0"/>
        <v>4</v>
      </c>
      <c r="S5" s="94">
        <v>2</v>
      </c>
      <c r="T5" s="241">
        <v>2</v>
      </c>
      <c r="U5" s="49"/>
      <c r="V5" s="135">
        <v>2</v>
      </c>
      <c r="W5" s="94">
        <v>3</v>
      </c>
      <c r="X5" s="161">
        <v>1</v>
      </c>
      <c r="Y5" s="340">
        <v>1</v>
      </c>
      <c r="Z5" s="49">
        <v>8</v>
      </c>
      <c r="AA5" s="45">
        <v>4</v>
      </c>
      <c r="AB5" s="36"/>
      <c r="AC5" s="135">
        <v>1</v>
      </c>
      <c r="AD5" s="146">
        <v>4</v>
      </c>
      <c r="AE5" s="335">
        <f t="shared" si="1"/>
        <v>2.8</v>
      </c>
      <c r="AF5" s="183">
        <f t="shared" si="2"/>
        <v>3</v>
      </c>
      <c r="AG5" s="183">
        <f t="shared" si="3"/>
        <v>3.5</v>
      </c>
      <c r="AH5" s="1" t="s">
        <v>29</v>
      </c>
      <c r="AI5" s="18">
        <f>COUNTIF(AF3:AF28,3)+COUNTIF(AF3:AF28,4)+COUNTIF(AF3:AF28,5)</f>
        <v>6</v>
      </c>
      <c r="AJ5" s="17">
        <f>AI5/$B$28</f>
        <v>0.23076923076923078</v>
      </c>
    </row>
    <row r="6" spans="1:36" ht="12.75">
      <c r="A6" s="3">
        <f t="shared" si="4"/>
        <v>4.9</v>
      </c>
      <c r="B6" s="2">
        <v>4</v>
      </c>
      <c r="C6" s="2" t="s">
        <v>143</v>
      </c>
      <c r="D6" s="38"/>
      <c r="E6" s="37">
        <v>5</v>
      </c>
      <c r="F6" s="38"/>
      <c r="G6" s="5">
        <v>5</v>
      </c>
      <c r="H6" s="31">
        <v>4</v>
      </c>
      <c r="I6" s="41">
        <v>6</v>
      </c>
      <c r="J6" s="36">
        <v>9</v>
      </c>
      <c r="K6" s="45">
        <v>5</v>
      </c>
      <c r="L6" s="36">
        <v>5</v>
      </c>
      <c r="M6" s="135">
        <v>7</v>
      </c>
      <c r="N6" s="41">
        <v>8</v>
      </c>
      <c r="O6" s="49"/>
      <c r="P6" s="45">
        <v>7</v>
      </c>
      <c r="Q6" s="268">
        <f t="shared" si="5"/>
        <v>6.1</v>
      </c>
      <c r="R6" s="183">
        <f t="shared" si="0"/>
        <v>6</v>
      </c>
      <c r="S6" s="45">
        <v>8</v>
      </c>
      <c r="T6" s="42">
        <v>5</v>
      </c>
      <c r="U6" s="49"/>
      <c r="V6" s="31">
        <v>7</v>
      </c>
      <c r="W6" s="45">
        <v>5</v>
      </c>
      <c r="X6" s="161">
        <v>1</v>
      </c>
      <c r="Y6" s="52">
        <v>7</v>
      </c>
      <c r="Z6" s="49">
        <v>3</v>
      </c>
      <c r="AA6" s="45">
        <v>8</v>
      </c>
      <c r="AB6" s="36"/>
      <c r="AC6" s="31">
        <v>4</v>
      </c>
      <c r="AD6" s="146">
        <v>1</v>
      </c>
      <c r="AE6" s="335">
        <f t="shared" si="1"/>
        <v>4.9</v>
      </c>
      <c r="AF6" s="183">
        <f t="shared" si="2"/>
        <v>5</v>
      </c>
      <c r="AG6" s="183">
        <f t="shared" si="3"/>
        <v>5.5</v>
      </c>
      <c r="AH6" s="1" t="s">
        <v>30</v>
      </c>
      <c r="AI6" s="1">
        <f>COUNTIF(AF3:AF28,"&lt;3")</f>
        <v>1</v>
      </c>
      <c r="AJ6" s="17">
        <f>AI6/$B$28</f>
        <v>0.038461538461538464</v>
      </c>
    </row>
    <row r="7" spans="1:36" ht="12.75">
      <c r="A7" s="3">
        <f t="shared" si="4"/>
        <v>7.9</v>
      </c>
      <c r="B7" s="2">
        <v>5</v>
      </c>
      <c r="C7" s="2" t="s">
        <v>89</v>
      </c>
      <c r="D7" s="38"/>
      <c r="E7" s="41">
        <v>7</v>
      </c>
      <c r="F7" s="38"/>
      <c r="G7" s="5">
        <v>5</v>
      </c>
      <c r="H7" s="98" t="s">
        <v>74</v>
      </c>
      <c r="I7" s="146">
        <v>5</v>
      </c>
      <c r="J7" s="161">
        <v>5</v>
      </c>
      <c r="K7" s="94">
        <v>3</v>
      </c>
      <c r="L7" s="36"/>
      <c r="M7" s="235" t="s">
        <v>74</v>
      </c>
      <c r="N7" s="146">
        <v>7</v>
      </c>
      <c r="O7" s="49"/>
      <c r="P7" s="45">
        <v>9</v>
      </c>
      <c r="Q7" s="268">
        <f t="shared" si="5"/>
        <v>5.857142857142857</v>
      </c>
      <c r="R7" s="183">
        <f t="shared" si="0"/>
        <v>6</v>
      </c>
      <c r="S7" s="94">
        <v>8</v>
      </c>
      <c r="T7" s="241">
        <v>7</v>
      </c>
      <c r="U7" s="49"/>
      <c r="V7" s="135">
        <v>9</v>
      </c>
      <c r="W7" s="45">
        <v>8</v>
      </c>
      <c r="X7" s="161">
        <v>7</v>
      </c>
      <c r="Y7" s="340">
        <v>7</v>
      </c>
      <c r="Z7" s="49">
        <v>8</v>
      </c>
      <c r="AA7" s="94">
        <v>10</v>
      </c>
      <c r="AB7" s="161"/>
      <c r="AC7" s="135">
        <v>5</v>
      </c>
      <c r="AD7" s="146">
        <v>10</v>
      </c>
      <c r="AE7" s="335">
        <f t="shared" si="1"/>
        <v>7.9</v>
      </c>
      <c r="AF7" s="183">
        <f t="shared" si="2"/>
        <v>8</v>
      </c>
      <c r="AG7" s="183">
        <f t="shared" si="3"/>
        <v>7</v>
      </c>
      <c r="AH7" s="19" t="s">
        <v>31</v>
      </c>
      <c r="AI7" s="1">
        <f>B28-SUM(AI3:AI6)</f>
        <v>0</v>
      </c>
      <c r="AJ7" s="17">
        <f>AI7/$B$28</f>
        <v>0</v>
      </c>
    </row>
    <row r="8" spans="1:33" ht="12.75">
      <c r="A8" s="3">
        <f t="shared" si="4"/>
        <v>7.1</v>
      </c>
      <c r="B8" s="2">
        <v>6</v>
      </c>
      <c r="C8" s="2" t="s">
        <v>91</v>
      </c>
      <c r="D8" s="38"/>
      <c r="E8" s="37">
        <v>7</v>
      </c>
      <c r="F8" s="38"/>
      <c r="G8" s="5">
        <v>5</v>
      </c>
      <c r="H8" s="85">
        <v>9</v>
      </c>
      <c r="I8" s="203">
        <v>2</v>
      </c>
      <c r="J8" s="36">
        <v>3</v>
      </c>
      <c r="K8" s="45">
        <v>6</v>
      </c>
      <c r="L8" s="36"/>
      <c r="M8" s="235" t="s">
        <v>74</v>
      </c>
      <c r="N8" s="247" t="s">
        <v>74</v>
      </c>
      <c r="O8" s="49"/>
      <c r="P8" s="45">
        <v>7</v>
      </c>
      <c r="Q8" s="268">
        <f t="shared" si="5"/>
        <v>5.571428571428571</v>
      </c>
      <c r="R8" s="183">
        <f t="shared" si="0"/>
        <v>6</v>
      </c>
      <c r="S8" s="45">
        <v>8</v>
      </c>
      <c r="T8" s="42">
        <v>5</v>
      </c>
      <c r="U8" s="49"/>
      <c r="V8" s="31">
        <v>7</v>
      </c>
      <c r="W8" s="45">
        <v>6</v>
      </c>
      <c r="X8" s="36">
        <v>8</v>
      </c>
      <c r="Y8" s="52">
        <v>7</v>
      </c>
      <c r="Z8" s="49">
        <v>9</v>
      </c>
      <c r="AA8" s="45">
        <v>8</v>
      </c>
      <c r="AB8" s="36">
        <v>9</v>
      </c>
      <c r="AC8" s="31">
        <v>4</v>
      </c>
      <c r="AD8" s="247" t="s">
        <v>74</v>
      </c>
      <c r="AE8" s="335">
        <f t="shared" si="1"/>
        <v>7.1</v>
      </c>
      <c r="AF8" s="183">
        <f t="shared" si="2"/>
        <v>7</v>
      </c>
      <c r="AG8" s="183">
        <f t="shared" si="3"/>
        <v>6.5</v>
      </c>
    </row>
    <row r="9" spans="1:33" ht="12.75">
      <c r="A9" s="3">
        <f t="shared" si="4"/>
        <v>7.4</v>
      </c>
      <c r="B9" s="2">
        <v>7</v>
      </c>
      <c r="C9" s="2" t="s">
        <v>85</v>
      </c>
      <c r="D9" s="38"/>
      <c r="E9" s="37">
        <v>4</v>
      </c>
      <c r="F9" s="36">
        <v>9</v>
      </c>
      <c r="G9" s="5">
        <v>7</v>
      </c>
      <c r="H9" s="31">
        <v>9</v>
      </c>
      <c r="I9" s="41">
        <v>7</v>
      </c>
      <c r="J9" s="36">
        <v>8</v>
      </c>
      <c r="K9" s="45">
        <v>3</v>
      </c>
      <c r="L9" s="36"/>
      <c r="M9" s="235" t="s">
        <v>74</v>
      </c>
      <c r="N9" s="146">
        <v>8</v>
      </c>
      <c r="O9" s="49"/>
      <c r="P9" s="272">
        <v>7</v>
      </c>
      <c r="Q9" s="268">
        <f t="shared" si="5"/>
        <v>6.888888888888889</v>
      </c>
      <c r="R9" s="183">
        <f t="shared" si="0"/>
        <v>7</v>
      </c>
      <c r="S9" s="45">
        <v>8</v>
      </c>
      <c r="T9" s="42">
        <v>5</v>
      </c>
      <c r="U9" s="49">
        <v>8</v>
      </c>
      <c r="V9" s="31">
        <v>8</v>
      </c>
      <c r="W9" s="45">
        <v>7</v>
      </c>
      <c r="X9" s="36">
        <v>9</v>
      </c>
      <c r="Y9" s="340" t="s">
        <v>74</v>
      </c>
      <c r="Z9" s="49">
        <v>10</v>
      </c>
      <c r="AA9" s="45">
        <v>7</v>
      </c>
      <c r="AB9" s="36"/>
      <c r="AC9" s="31">
        <v>5</v>
      </c>
      <c r="AD9" s="41">
        <v>7</v>
      </c>
      <c r="AE9" s="335">
        <f t="shared" si="1"/>
        <v>7.4</v>
      </c>
      <c r="AF9" s="183">
        <v>8</v>
      </c>
      <c r="AG9" s="183">
        <f t="shared" si="3"/>
        <v>7.5</v>
      </c>
    </row>
    <row r="10" spans="1:33" ht="12.75">
      <c r="A10" s="3">
        <f t="shared" si="4"/>
        <v>8.545454545454545</v>
      </c>
      <c r="B10" s="2">
        <v>8</v>
      </c>
      <c r="C10" s="2" t="s">
        <v>145</v>
      </c>
      <c r="D10" s="38">
        <v>9</v>
      </c>
      <c r="E10" s="37">
        <v>6</v>
      </c>
      <c r="F10" s="38">
        <v>7</v>
      </c>
      <c r="G10" s="5">
        <v>6</v>
      </c>
      <c r="H10" s="85">
        <v>3</v>
      </c>
      <c r="I10" s="82">
        <v>7</v>
      </c>
      <c r="J10" s="36">
        <v>8</v>
      </c>
      <c r="K10" s="45">
        <v>6</v>
      </c>
      <c r="L10" s="36"/>
      <c r="M10" s="135">
        <v>7</v>
      </c>
      <c r="N10" s="41">
        <v>8</v>
      </c>
      <c r="O10" s="49"/>
      <c r="P10" s="45">
        <v>8</v>
      </c>
      <c r="Q10" s="268">
        <f t="shared" si="5"/>
        <v>6.818181818181818</v>
      </c>
      <c r="R10" s="183">
        <f t="shared" si="0"/>
        <v>7</v>
      </c>
      <c r="S10" s="45">
        <v>7</v>
      </c>
      <c r="T10" s="42">
        <v>9</v>
      </c>
      <c r="U10" s="49">
        <v>9</v>
      </c>
      <c r="V10" s="31">
        <v>8</v>
      </c>
      <c r="W10" s="45">
        <v>8</v>
      </c>
      <c r="X10" s="36">
        <v>9</v>
      </c>
      <c r="Y10" s="52">
        <v>9</v>
      </c>
      <c r="Z10" s="49">
        <v>10</v>
      </c>
      <c r="AA10" s="45">
        <v>8</v>
      </c>
      <c r="AB10" s="36"/>
      <c r="AC10" s="31">
        <v>9</v>
      </c>
      <c r="AD10" s="146">
        <v>8</v>
      </c>
      <c r="AE10" s="335">
        <f t="shared" si="1"/>
        <v>8.545454545454545</v>
      </c>
      <c r="AF10" s="183">
        <f t="shared" si="2"/>
        <v>9</v>
      </c>
      <c r="AG10" s="183">
        <f t="shared" si="3"/>
        <v>8</v>
      </c>
    </row>
    <row r="11" spans="1:33" ht="12.75">
      <c r="A11" s="3">
        <f t="shared" si="4"/>
        <v>5.909090909090909</v>
      </c>
      <c r="B11" s="2">
        <v>9</v>
      </c>
      <c r="C11" s="2" t="s">
        <v>101</v>
      </c>
      <c r="D11" s="38"/>
      <c r="E11" s="37">
        <v>4</v>
      </c>
      <c r="F11" s="38"/>
      <c r="G11" s="5">
        <v>5</v>
      </c>
      <c r="H11" s="85">
        <v>5</v>
      </c>
      <c r="I11" s="82">
        <v>6</v>
      </c>
      <c r="J11" s="36">
        <v>6</v>
      </c>
      <c r="K11" s="94">
        <v>4</v>
      </c>
      <c r="L11" s="36"/>
      <c r="M11" s="31">
        <v>4</v>
      </c>
      <c r="N11" s="41">
        <v>7</v>
      </c>
      <c r="O11" s="49"/>
      <c r="P11" s="45">
        <v>9</v>
      </c>
      <c r="Q11" s="268">
        <f t="shared" si="5"/>
        <v>5.555555555555555</v>
      </c>
      <c r="R11" s="183">
        <f t="shared" si="0"/>
        <v>6</v>
      </c>
      <c r="S11" s="45">
        <v>8</v>
      </c>
      <c r="T11" s="42">
        <v>7</v>
      </c>
      <c r="U11" s="49"/>
      <c r="V11" s="135">
        <v>3</v>
      </c>
      <c r="W11" s="45">
        <v>6</v>
      </c>
      <c r="X11" s="36">
        <v>6</v>
      </c>
      <c r="Y11" s="52">
        <v>6</v>
      </c>
      <c r="Z11" s="49">
        <v>5</v>
      </c>
      <c r="AA11" s="45">
        <v>6</v>
      </c>
      <c r="AB11" s="36">
        <v>6</v>
      </c>
      <c r="AC11" s="31">
        <v>5</v>
      </c>
      <c r="AD11" s="41">
        <v>7</v>
      </c>
      <c r="AE11" s="335">
        <f t="shared" si="1"/>
        <v>5.909090909090909</v>
      </c>
      <c r="AF11" s="183">
        <f t="shared" si="2"/>
        <v>6</v>
      </c>
      <c r="AG11" s="183">
        <f t="shared" si="3"/>
        <v>6</v>
      </c>
    </row>
    <row r="12" spans="1:33" ht="12.75">
      <c r="A12" s="3">
        <f t="shared" si="4"/>
        <v>8.333333333333334</v>
      </c>
      <c r="B12" s="2">
        <v>10</v>
      </c>
      <c r="C12" s="2" t="s">
        <v>144</v>
      </c>
      <c r="D12" s="38"/>
      <c r="E12" s="37">
        <v>6</v>
      </c>
      <c r="F12" s="38"/>
      <c r="G12" s="135" t="s">
        <v>74</v>
      </c>
      <c r="H12" s="135">
        <v>9</v>
      </c>
      <c r="I12" s="82">
        <v>6</v>
      </c>
      <c r="J12" s="161">
        <v>7</v>
      </c>
      <c r="K12" s="94">
        <v>4</v>
      </c>
      <c r="L12" s="36"/>
      <c r="M12" s="135">
        <v>7</v>
      </c>
      <c r="N12" s="41">
        <v>9</v>
      </c>
      <c r="O12" s="49"/>
      <c r="P12" s="45">
        <v>10</v>
      </c>
      <c r="Q12" s="268">
        <f t="shared" si="5"/>
        <v>7.25</v>
      </c>
      <c r="R12" s="183">
        <v>8</v>
      </c>
      <c r="S12" s="94">
        <v>8</v>
      </c>
      <c r="T12" s="42">
        <v>6</v>
      </c>
      <c r="U12" s="49">
        <v>9</v>
      </c>
      <c r="V12" s="31">
        <v>8</v>
      </c>
      <c r="W12" s="45">
        <v>8</v>
      </c>
      <c r="X12" s="36">
        <v>9</v>
      </c>
      <c r="Y12" s="52">
        <v>9</v>
      </c>
      <c r="Z12" s="49">
        <v>9</v>
      </c>
      <c r="AA12" s="45">
        <v>9</v>
      </c>
      <c r="AB12" s="36">
        <v>9</v>
      </c>
      <c r="AC12" s="31">
        <v>7</v>
      </c>
      <c r="AD12" s="41">
        <v>9</v>
      </c>
      <c r="AE12" s="335">
        <f t="shared" si="1"/>
        <v>8.333333333333334</v>
      </c>
      <c r="AF12" s="183">
        <v>9</v>
      </c>
      <c r="AG12" s="183">
        <f t="shared" si="3"/>
        <v>8.5</v>
      </c>
    </row>
    <row r="13" spans="1:33" ht="12.75">
      <c r="A13" s="3">
        <f t="shared" si="4"/>
        <v>5</v>
      </c>
      <c r="B13" s="2">
        <v>11</v>
      </c>
      <c r="C13" s="2" t="s">
        <v>90</v>
      </c>
      <c r="D13" s="38">
        <v>9</v>
      </c>
      <c r="E13" s="37">
        <v>5</v>
      </c>
      <c r="F13" s="38"/>
      <c r="G13" s="5">
        <v>5</v>
      </c>
      <c r="H13" s="85">
        <v>5</v>
      </c>
      <c r="I13" s="203">
        <v>1</v>
      </c>
      <c r="J13" s="36">
        <v>9</v>
      </c>
      <c r="K13" s="45">
        <v>5</v>
      </c>
      <c r="L13" s="36"/>
      <c r="M13" s="135">
        <v>7</v>
      </c>
      <c r="N13" s="41">
        <v>9</v>
      </c>
      <c r="O13" s="49"/>
      <c r="P13" s="45">
        <v>7</v>
      </c>
      <c r="Q13" s="268">
        <f t="shared" si="5"/>
        <v>6.2</v>
      </c>
      <c r="R13" s="183">
        <f t="shared" si="0"/>
        <v>6</v>
      </c>
      <c r="S13" s="45">
        <v>8</v>
      </c>
      <c r="T13" s="42">
        <v>6</v>
      </c>
      <c r="U13" s="49"/>
      <c r="V13" s="31">
        <v>7</v>
      </c>
      <c r="W13" s="94">
        <v>5</v>
      </c>
      <c r="X13" s="161" t="s">
        <v>74</v>
      </c>
      <c r="Y13" s="340">
        <v>1</v>
      </c>
      <c r="Z13" s="328" t="s">
        <v>74</v>
      </c>
      <c r="AA13" s="326" t="s">
        <v>74</v>
      </c>
      <c r="AB13" s="329"/>
      <c r="AC13" s="135">
        <v>3</v>
      </c>
      <c r="AD13" s="247" t="s">
        <v>74</v>
      </c>
      <c r="AE13" s="335">
        <f t="shared" si="1"/>
        <v>5</v>
      </c>
      <c r="AF13" s="183">
        <f t="shared" si="2"/>
        <v>5</v>
      </c>
      <c r="AG13" s="183">
        <f t="shared" si="3"/>
        <v>5.5</v>
      </c>
    </row>
    <row r="14" spans="1:33" ht="12.75">
      <c r="A14" s="3">
        <f t="shared" si="4"/>
        <v>6</v>
      </c>
      <c r="B14" s="2">
        <v>12</v>
      </c>
      <c r="C14" s="2" t="s">
        <v>99</v>
      </c>
      <c r="D14" s="38"/>
      <c r="E14" s="37">
        <v>6</v>
      </c>
      <c r="F14" s="38"/>
      <c r="G14" s="135" t="s">
        <v>74</v>
      </c>
      <c r="H14" s="98" t="s">
        <v>74</v>
      </c>
      <c r="I14" s="82">
        <v>3</v>
      </c>
      <c r="J14" s="36">
        <v>4</v>
      </c>
      <c r="K14" s="45">
        <v>6</v>
      </c>
      <c r="L14" s="36">
        <v>6</v>
      </c>
      <c r="M14" s="235" t="s">
        <v>74</v>
      </c>
      <c r="N14" s="247" t="s">
        <v>74</v>
      </c>
      <c r="O14" s="49"/>
      <c r="P14" s="45">
        <v>8</v>
      </c>
      <c r="Q14" s="268">
        <f t="shared" si="5"/>
        <v>5.5</v>
      </c>
      <c r="R14" s="183">
        <f t="shared" si="0"/>
        <v>6</v>
      </c>
      <c r="S14" s="94">
        <v>8</v>
      </c>
      <c r="T14" s="42">
        <v>8</v>
      </c>
      <c r="U14" s="49"/>
      <c r="V14" s="31">
        <v>4</v>
      </c>
      <c r="W14" s="94">
        <v>5</v>
      </c>
      <c r="X14" s="161" t="s">
        <v>74</v>
      </c>
      <c r="Y14" s="340">
        <v>4</v>
      </c>
      <c r="Z14" s="424" t="s">
        <v>74</v>
      </c>
      <c r="AA14" s="425" t="s">
        <v>74</v>
      </c>
      <c r="AB14" s="329"/>
      <c r="AC14" s="31">
        <v>6</v>
      </c>
      <c r="AD14" s="41">
        <v>7</v>
      </c>
      <c r="AE14" s="335">
        <f t="shared" si="1"/>
        <v>6</v>
      </c>
      <c r="AF14" s="183">
        <f t="shared" si="2"/>
        <v>6</v>
      </c>
      <c r="AG14" s="183">
        <f t="shared" si="3"/>
        <v>6</v>
      </c>
    </row>
    <row r="15" spans="1:33" ht="12.75">
      <c r="A15" s="3">
        <f t="shared" si="4"/>
        <v>9.5</v>
      </c>
      <c r="B15" s="2">
        <v>13</v>
      </c>
      <c r="C15" s="2" t="s">
        <v>88</v>
      </c>
      <c r="D15" s="38"/>
      <c r="E15" s="37">
        <v>6</v>
      </c>
      <c r="F15" s="38">
        <v>9</v>
      </c>
      <c r="G15" s="5">
        <v>8</v>
      </c>
      <c r="H15" s="31">
        <v>5</v>
      </c>
      <c r="I15" s="41">
        <v>8</v>
      </c>
      <c r="J15" s="36">
        <v>8</v>
      </c>
      <c r="K15" s="94">
        <v>7</v>
      </c>
      <c r="L15" s="36"/>
      <c r="M15" s="235" t="s">
        <v>74</v>
      </c>
      <c r="N15" s="247" t="s">
        <v>74</v>
      </c>
      <c r="O15" s="49"/>
      <c r="P15" s="45">
        <v>9</v>
      </c>
      <c r="Q15" s="268">
        <f t="shared" si="5"/>
        <v>7.5</v>
      </c>
      <c r="R15" s="183">
        <f t="shared" si="0"/>
        <v>8</v>
      </c>
      <c r="S15" s="94">
        <v>9</v>
      </c>
      <c r="T15" s="241">
        <v>10</v>
      </c>
      <c r="U15" s="49"/>
      <c r="V15" s="31">
        <v>9</v>
      </c>
      <c r="W15" s="94">
        <v>9</v>
      </c>
      <c r="X15" s="161" t="s">
        <v>74</v>
      </c>
      <c r="Y15" s="340" t="s">
        <v>74</v>
      </c>
      <c r="Z15" s="299">
        <v>10</v>
      </c>
      <c r="AA15" s="94">
        <v>10</v>
      </c>
      <c r="AB15" s="329"/>
      <c r="AC15" s="31">
        <v>9</v>
      </c>
      <c r="AD15" s="146">
        <v>10</v>
      </c>
      <c r="AE15" s="335">
        <f t="shared" si="1"/>
        <v>9.5</v>
      </c>
      <c r="AF15" s="183">
        <f t="shared" si="2"/>
        <v>10</v>
      </c>
      <c r="AG15" s="183">
        <f t="shared" si="3"/>
        <v>9</v>
      </c>
    </row>
    <row r="16" spans="1:33" ht="12.75">
      <c r="A16" s="3">
        <f t="shared" si="4"/>
        <v>6.909090909090909</v>
      </c>
      <c r="B16" s="2">
        <v>14</v>
      </c>
      <c r="C16" s="2" t="s">
        <v>97</v>
      </c>
      <c r="D16" s="38"/>
      <c r="E16" s="37">
        <v>5</v>
      </c>
      <c r="F16" s="38">
        <v>7</v>
      </c>
      <c r="G16" s="5">
        <v>6</v>
      </c>
      <c r="H16" s="85">
        <v>9</v>
      </c>
      <c r="I16" s="82">
        <v>7</v>
      </c>
      <c r="J16" s="36">
        <v>7</v>
      </c>
      <c r="K16" s="45">
        <v>5</v>
      </c>
      <c r="L16" s="36"/>
      <c r="M16" s="135">
        <v>2</v>
      </c>
      <c r="N16" s="41">
        <v>8</v>
      </c>
      <c r="O16" s="49"/>
      <c r="P16" s="45">
        <v>9</v>
      </c>
      <c r="Q16" s="268">
        <f t="shared" si="5"/>
        <v>6.5</v>
      </c>
      <c r="R16" s="183">
        <f t="shared" si="0"/>
        <v>7</v>
      </c>
      <c r="S16" s="45">
        <v>8</v>
      </c>
      <c r="T16" s="241">
        <v>8</v>
      </c>
      <c r="U16" s="49"/>
      <c r="V16" s="135">
        <v>10</v>
      </c>
      <c r="W16" s="45">
        <v>4</v>
      </c>
      <c r="X16" s="161">
        <v>2</v>
      </c>
      <c r="Y16" s="340">
        <v>3</v>
      </c>
      <c r="Z16" s="49">
        <v>10</v>
      </c>
      <c r="AA16" s="45">
        <v>10</v>
      </c>
      <c r="AB16" s="36">
        <v>7</v>
      </c>
      <c r="AC16" s="31">
        <v>6</v>
      </c>
      <c r="AD16" s="41">
        <v>8</v>
      </c>
      <c r="AE16" s="335">
        <f t="shared" si="1"/>
        <v>6.909090909090909</v>
      </c>
      <c r="AF16" s="183">
        <f t="shared" si="2"/>
        <v>7</v>
      </c>
      <c r="AG16" s="183">
        <f t="shared" si="3"/>
        <v>7</v>
      </c>
    </row>
    <row r="17" spans="1:33" ht="12.75">
      <c r="A17" s="3">
        <f t="shared" si="4"/>
        <v>3.727272727272727</v>
      </c>
      <c r="B17" s="2">
        <v>15</v>
      </c>
      <c r="C17" s="2" t="s">
        <v>105</v>
      </c>
      <c r="D17" s="38"/>
      <c r="E17" s="37">
        <v>4</v>
      </c>
      <c r="F17" s="38"/>
      <c r="G17" s="5">
        <v>7</v>
      </c>
      <c r="H17" s="31">
        <v>4</v>
      </c>
      <c r="I17" s="82">
        <v>5</v>
      </c>
      <c r="J17" s="161">
        <v>2</v>
      </c>
      <c r="K17" s="94">
        <v>3</v>
      </c>
      <c r="L17" s="36"/>
      <c r="M17" s="31">
        <v>6</v>
      </c>
      <c r="N17" s="41">
        <v>3</v>
      </c>
      <c r="O17" s="49"/>
      <c r="P17" s="45">
        <v>9</v>
      </c>
      <c r="Q17" s="268">
        <f t="shared" si="5"/>
        <v>4.777777777777778</v>
      </c>
      <c r="R17" s="183">
        <f t="shared" si="0"/>
        <v>5</v>
      </c>
      <c r="S17" s="45">
        <v>3</v>
      </c>
      <c r="T17" s="42">
        <v>4</v>
      </c>
      <c r="U17" s="49"/>
      <c r="V17" s="31">
        <v>5</v>
      </c>
      <c r="W17" s="45">
        <v>3</v>
      </c>
      <c r="X17" s="161">
        <v>1</v>
      </c>
      <c r="Y17" s="340">
        <v>1</v>
      </c>
      <c r="Z17" s="49">
        <v>9</v>
      </c>
      <c r="AA17" s="45">
        <v>4</v>
      </c>
      <c r="AB17" s="36">
        <v>6</v>
      </c>
      <c r="AC17" s="31">
        <v>4</v>
      </c>
      <c r="AD17" s="146">
        <v>1</v>
      </c>
      <c r="AE17" s="335">
        <f t="shared" si="1"/>
        <v>3.727272727272727</v>
      </c>
      <c r="AF17" s="183">
        <f t="shared" si="2"/>
        <v>4</v>
      </c>
      <c r="AG17" s="183">
        <f t="shared" si="3"/>
        <v>4.5</v>
      </c>
    </row>
    <row r="18" spans="1:33" ht="12.75">
      <c r="A18" s="3">
        <f t="shared" si="4"/>
        <v>7.222222222222222</v>
      </c>
      <c r="B18" s="2">
        <v>16</v>
      </c>
      <c r="C18" s="2" t="s">
        <v>87</v>
      </c>
      <c r="D18" s="38"/>
      <c r="E18" s="37">
        <v>7</v>
      </c>
      <c r="F18" s="38"/>
      <c r="G18" s="5">
        <v>5</v>
      </c>
      <c r="H18" s="98" t="s">
        <v>74</v>
      </c>
      <c r="I18" s="41">
        <v>6</v>
      </c>
      <c r="J18" s="36">
        <v>3</v>
      </c>
      <c r="K18" s="45">
        <v>6</v>
      </c>
      <c r="L18" s="36"/>
      <c r="M18" s="31">
        <v>6</v>
      </c>
      <c r="N18" s="41">
        <v>7</v>
      </c>
      <c r="O18" s="49"/>
      <c r="P18" s="45">
        <v>8</v>
      </c>
      <c r="Q18" s="268">
        <f t="shared" si="5"/>
        <v>6</v>
      </c>
      <c r="R18" s="183">
        <f t="shared" si="0"/>
        <v>6</v>
      </c>
      <c r="S18" s="45">
        <v>8</v>
      </c>
      <c r="T18" s="42">
        <v>8</v>
      </c>
      <c r="U18" s="49"/>
      <c r="V18" s="135">
        <v>4</v>
      </c>
      <c r="W18" s="45">
        <v>8</v>
      </c>
      <c r="X18" s="161">
        <v>7</v>
      </c>
      <c r="Y18" s="340">
        <v>7</v>
      </c>
      <c r="Z18" s="299">
        <v>9</v>
      </c>
      <c r="AA18" s="326" t="s">
        <v>74</v>
      </c>
      <c r="AB18" s="329"/>
      <c r="AC18" s="31">
        <v>6</v>
      </c>
      <c r="AD18" s="41">
        <v>8</v>
      </c>
      <c r="AE18" s="335">
        <f t="shared" si="1"/>
        <v>7.222222222222222</v>
      </c>
      <c r="AF18" s="183">
        <f t="shared" si="2"/>
        <v>7</v>
      </c>
      <c r="AG18" s="183">
        <f t="shared" si="3"/>
        <v>6.5</v>
      </c>
    </row>
    <row r="19" spans="1:33" ht="12.75">
      <c r="A19" s="3">
        <f t="shared" si="4"/>
        <v>6.333333333333333</v>
      </c>
      <c r="B19" s="2">
        <v>17</v>
      </c>
      <c r="C19" s="2" t="s">
        <v>104</v>
      </c>
      <c r="D19" s="38"/>
      <c r="E19" s="37">
        <v>3</v>
      </c>
      <c r="F19" s="38"/>
      <c r="G19" s="5">
        <v>5</v>
      </c>
      <c r="H19" s="31">
        <v>7</v>
      </c>
      <c r="I19" s="41">
        <v>3</v>
      </c>
      <c r="J19" s="161">
        <v>1</v>
      </c>
      <c r="K19" s="45">
        <v>6</v>
      </c>
      <c r="L19" s="36"/>
      <c r="M19" s="31">
        <v>6</v>
      </c>
      <c r="N19" s="41">
        <v>7</v>
      </c>
      <c r="O19" s="49"/>
      <c r="P19" s="45">
        <v>9</v>
      </c>
      <c r="Q19" s="268">
        <f t="shared" si="5"/>
        <v>5.222222222222222</v>
      </c>
      <c r="R19" s="183">
        <f t="shared" si="0"/>
        <v>5</v>
      </c>
      <c r="S19" s="45">
        <v>3</v>
      </c>
      <c r="T19" s="241">
        <v>2</v>
      </c>
      <c r="U19" s="49">
        <v>7</v>
      </c>
      <c r="V19" s="31">
        <v>7</v>
      </c>
      <c r="W19" s="45">
        <v>6</v>
      </c>
      <c r="X19" s="161">
        <v>7</v>
      </c>
      <c r="Y19" s="340">
        <v>6</v>
      </c>
      <c r="Z19" s="49">
        <v>10</v>
      </c>
      <c r="AA19" s="45">
        <v>6</v>
      </c>
      <c r="AB19" s="36">
        <v>8</v>
      </c>
      <c r="AC19" s="31">
        <v>5</v>
      </c>
      <c r="AD19" s="41">
        <v>9</v>
      </c>
      <c r="AE19" s="335">
        <f t="shared" si="1"/>
        <v>6.333333333333333</v>
      </c>
      <c r="AF19" s="183">
        <v>7</v>
      </c>
      <c r="AG19" s="183">
        <f t="shared" si="3"/>
        <v>6</v>
      </c>
    </row>
    <row r="20" spans="1:33" ht="12.75">
      <c r="A20" s="3">
        <f t="shared" si="4"/>
        <v>1.75</v>
      </c>
      <c r="B20" s="2">
        <v>18</v>
      </c>
      <c r="C20" s="2" t="s">
        <v>106</v>
      </c>
      <c r="D20" s="38"/>
      <c r="E20" s="37">
        <v>3</v>
      </c>
      <c r="F20" s="38"/>
      <c r="G20" s="5">
        <v>4</v>
      </c>
      <c r="H20" s="31">
        <v>5</v>
      </c>
      <c r="I20" s="146">
        <v>2</v>
      </c>
      <c r="J20" s="36">
        <v>4</v>
      </c>
      <c r="K20" s="94">
        <v>3</v>
      </c>
      <c r="L20" s="36"/>
      <c r="M20" s="135">
        <v>2</v>
      </c>
      <c r="N20" s="41">
        <v>3</v>
      </c>
      <c r="O20" s="49"/>
      <c r="P20" s="45">
        <v>4</v>
      </c>
      <c r="Q20" s="268">
        <f t="shared" si="5"/>
        <v>3.3333333333333335</v>
      </c>
      <c r="R20" s="183">
        <f t="shared" si="0"/>
        <v>3</v>
      </c>
      <c r="S20" s="45">
        <v>3</v>
      </c>
      <c r="T20" s="42">
        <v>3</v>
      </c>
      <c r="U20" s="49"/>
      <c r="V20" s="135">
        <v>2</v>
      </c>
      <c r="W20" s="94">
        <v>1</v>
      </c>
      <c r="X20" s="161" t="s">
        <v>74</v>
      </c>
      <c r="Y20" s="340">
        <v>1</v>
      </c>
      <c r="Z20" s="299">
        <v>1</v>
      </c>
      <c r="AA20" s="94">
        <v>2</v>
      </c>
      <c r="AB20" s="161"/>
      <c r="AC20" s="135">
        <v>1</v>
      </c>
      <c r="AD20" s="247" t="s">
        <v>74</v>
      </c>
      <c r="AE20" s="335">
        <f t="shared" si="1"/>
        <v>1.75</v>
      </c>
      <c r="AF20" s="183">
        <f t="shared" si="2"/>
        <v>2</v>
      </c>
      <c r="AG20" s="183">
        <f t="shared" si="3"/>
        <v>2.5</v>
      </c>
    </row>
    <row r="21" spans="1:33" ht="12.75">
      <c r="A21" s="3">
        <f t="shared" si="4"/>
        <v>4.909090909090909</v>
      </c>
      <c r="B21" s="2">
        <v>19</v>
      </c>
      <c r="C21" s="2" t="s">
        <v>98</v>
      </c>
      <c r="D21" s="38"/>
      <c r="E21" s="37">
        <v>3</v>
      </c>
      <c r="F21" s="38">
        <v>9</v>
      </c>
      <c r="G21" s="5">
        <v>5</v>
      </c>
      <c r="H21" s="85">
        <v>8</v>
      </c>
      <c r="I21" s="203">
        <v>1</v>
      </c>
      <c r="J21" s="161">
        <v>4</v>
      </c>
      <c r="K21" s="45">
        <v>3</v>
      </c>
      <c r="L21" s="36">
        <v>10</v>
      </c>
      <c r="M21" s="31">
        <v>4</v>
      </c>
      <c r="N21" s="41">
        <v>3</v>
      </c>
      <c r="O21" s="49">
        <v>9</v>
      </c>
      <c r="P21" s="45">
        <v>3</v>
      </c>
      <c r="Q21" s="268">
        <f t="shared" si="5"/>
        <v>5.166666666666667</v>
      </c>
      <c r="R21" s="183">
        <f t="shared" si="0"/>
        <v>5</v>
      </c>
      <c r="S21" s="94">
        <v>2</v>
      </c>
      <c r="T21" s="42">
        <v>3</v>
      </c>
      <c r="U21" s="49"/>
      <c r="V21" s="31">
        <v>3</v>
      </c>
      <c r="W21" s="45">
        <v>7</v>
      </c>
      <c r="X21" s="36">
        <v>4</v>
      </c>
      <c r="Y21" s="52">
        <v>4</v>
      </c>
      <c r="Z21" s="49">
        <v>9</v>
      </c>
      <c r="AA21" s="45">
        <v>5</v>
      </c>
      <c r="AB21" s="36">
        <v>6</v>
      </c>
      <c r="AC21" s="31">
        <v>6</v>
      </c>
      <c r="AD21" s="41">
        <v>5</v>
      </c>
      <c r="AE21" s="335">
        <f t="shared" si="1"/>
        <v>4.909090909090909</v>
      </c>
      <c r="AF21" s="183">
        <f t="shared" si="2"/>
        <v>5</v>
      </c>
      <c r="AG21" s="183">
        <f t="shared" si="3"/>
        <v>5</v>
      </c>
    </row>
    <row r="22" spans="1:33" ht="12.75">
      <c r="A22" s="3">
        <f t="shared" si="4"/>
        <v>7.583333333333333</v>
      </c>
      <c r="B22" s="2">
        <v>20</v>
      </c>
      <c r="C22" s="2" t="s">
        <v>92</v>
      </c>
      <c r="D22" s="38"/>
      <c r="E22" s="37">
        <v>6</v>
      </c>
      <c r="F22" s="38">
        <v>7</v>
      </c>
      <c r="G22" s="5">
        <v>4</v>
      </c>
      <c r="H22" s="85">
        <v>5</v>
      </c>
      <c r="I22" s="203">
        <v>7</v>
      </c>
      <c r="J22" s="36">
        <v>7</v>
      </c>
      <c r="K22" s="45">
        <v>3</v>
      </c>
      <c r="L22" s="36">
        <v>9</v>
      </c>
      <c r="M22" s="31">
        <v>4</v>
      </c>
      <c r="N22" s="41">
        <v>8</v>
      </c>
      <c r="O22" s="49"/>
      <c r="P22" s="45">
        <v>8</v>
      </c>
      <c r="Q22" s="268">
        <f t="shared" si="5"/>
        <v>6.181818181818182</v>
      </c>
      <c r="R22" s="183">
        <f t="shared" si="0"/>
        <v>6</v>
      </c>
      <c r="S22" s="45">
        <v>7</v>
      </c>
      <c r="T22" s="42">
        <v>7</v>
      </c>
      <c r="U22" s="49">
        <v>8</v>
      </c>
      <c r="V22" s="31">
        <v>8</v>
      </c>
      <c r="W22" s="45">
        <v>5</v>
      </c>
      <c r="X22" s="36">
        <v>9</v>
      </c>
      <c r="Y22" s="52">
        <v>7</v>
      </c>
      <c r="Z22" s="49">
        <v>10</v>
      </c>
      <c r="AA22" s="94">
        <v>7</v>
      </c>
      <c r="AB22" s="161">
        <v>9</v>
      </c>
      <c r="AC22" s="31">
        <v>7</v>
      </c>
      <c r="AD22" s="146">
        <v>7</v>
      </c>
      <c r="AE22" s="335">
        <f t="shared" si="1"/>
        <v>7.583333333333333</v>
      </c>
      <c r="AF22" s="183">
        <f t="shared" si="2"/>
        <v>8</v>
      </c>
      <c r="AG22" s="183">
        <f t="shared" si="3"/>
        <v>7</v>
      </c>
    </row>
    <row r="23" spans="1:33" ht="12.75">
      <c r="A23" s="3">
        <f t="shared" si="4"/>
        <v>6.454545454545454</v>
      </c>
      <c r="B23" s="2">
        <v>21</v>
      </c>
      <c r="C23" s="2" t="s">
        <v>95</v>
      </c>
      <c r="D23" s="38">
        <v>9</v>
      </c>
      <c r="E23" s="37">
        <v>6</v>
      </c>
      <c r="F23" s="38">
        <v>8</v>
      </c>
      <c r="G23" s="5">
        <v>6</v>
      </c>
      <c r="H23" s="85">
        <v>5</v>
      </c>
      <c r="I23" s="82">
        <v>5</v>
      </c>
      <c r="J23" s="161">
        <v>4</v>
      </c>
      <c r="K23" s="94">
        <v>4</v>
      </c>
      <c r="L23" s="36">
        <v>9</v>
      </c>
      <c r="M23" s="31">
        <v>3</v>
      </c>
      <c r="N23" s="41">
        <v>7</v>
      </c>
      <c r="O23" s="49">
        <v>4</v>
      </c>
      <c r="P23" s="45">
        <v>8</v>
      </c>
      <c r="Q23" s="268">
        <f t="shared" si="5"/>
        <v>6</v>
      </c>
      <c r="R23" s="183">
        <f t="shared" si="0"/>
        <v>6</v>
      </c>
      <c r="S23" s="45">
        <v>6</v>
      </c>
      <c r="T23" s="42">
        <v>4</v>
      </c>
      <c r="U23" s="49">
        <v>7</v>
      </c>
      <c r="V23" s="31">
        <v>8</v>
      </c>
      <c r="W23" s="94">
        <v>5</v>
      </c>
      <c r="X23" s="161">
        <v>6</v>
      </c>
      <c r="Y23" s="340">
        <v>7</v>
      </c>
      <c r="Z23" s="49">
        <v>10</v>
      </c>
      <c r="AA23" s="45">
        <v>5</v>
      </c>
      <c r="AB23" s="36"/>
      <c r="AC23" s="31">
        <v>4</v>
      </c>
      <c r="AD23" s="41">
        <v>9</v>
      </c>
      <c r="AE23" s="335">
        <f t="shared" si="1"/>
        <v>6.454545454545454</v>
      </c>
      <c r="AF23" s="183">
        <v>7</v>
      </c>
      <c r="AG23" s="183">
        <f t="shared" si="3"/>
        <v>6.5</v>
      </c>
    </row>
    <row r="24" spans="1:33" ht="12.75">
      <c r="A24" s="3">
        <f t="shared" si="4"/>
        <v>6.666666666666667</v>
      </c>
      <c r="B24" s="2">
        <v>22</v>
      </c>
      <c r="C24" s="2" t="s">
        <v>86</v>
      </c>
      <c r="D24" s="38"/>
      <c r="E24" s="37">
        <v>7</v>
      </c>
      <c r="F24" s="38"/>
      <c r="G24" s="5">
        <v>5</v>
      </c>
      <c r="H24" s="31">
        <v>9</v>
      </c>
      <c r="I24" s="156" t="s">
        <v>74</v>
      </c>
      <c r="J24" s="36">
        <v>4</v>
      </c>
      <c r="K24" s="45">
        <v>6</v>
      </c>
      <c r="L24" s="36"/>
      <c r="M24" s="31">
        <v>6</v>
      </c>
      <c r="N24" s="146">
        <v>2</v>
      </c>
      <c r="O24" s="49"/>
      <c r="P24" s="45">
        <v>8</v>
      </c>
      <c r="Q24" s="268">
        <f t="shared" si="5"/>
        <v>5.875</v>
      </c>
      <c r="R24" s="183">
        <f t="shared" si="0"/>
        <v>6</v>
      </c>
      <c r="S24" s="94">
        <v>8</v>
      </c>
      <c r="T24" s="42">
        <v>8</v>
      </c>
      <c r="U24" s="49">
        <v>4</v>
      </c>
      <c r="V24" s="31">
        <v>3</v>
      </c>
      <c r="W24" s="45">
        <v>8</v>
      </c>
      <c r="X24" s="161">
        <v>6</v>
      </c>
      <c r="Y24" s="340">
        <v>4</v>
      </c>
      <c r="Z24" s="49">
        <v>9</v>
      </c>
      <c r="AA24" s="45">
        <v>8</v>
      </c>
      <c r="AB24" s="36">
        <v>9</v>
      </c>
      <c r="AC24" s="31">
        <v>5</v>
      </c>
      <c r="AD24" s="41">
        <v>8</v>
      </c>
      <c r="AE24" s="335">
        <f t="shared" si="1"/>
        <v>6.666666666666667</v>
      </c>
      <c r="AF24" s="183">
        <f t="shared" si="2"/>
        <v>7</v>
      </c>
      <c r="AG24" s="183">
        <f t="shared" si="3"/>
        <v>6.5</v>
      </c>
    </row>
    <row r="25" spans="1:33" ht="12.75">
      <c r="A25" s="3">
        <f t="shared" si="4"/>
        <v>6</v>
      </c>
      <c r="B25" s="2">
        <v>23</v>
      </c>
      <c r="C25" s="2" t="s">
        <v>100</v>
      </c>
      <c r="D25" s="38"/>
      <c r="E25" s="37">
        <v>6</v>
      </c>
      <c r="F25" s="38"/>
      <c r="G25" s="135" t="s">
        <v>74</v>
      </c>
      <c r="H25" s="135">
        <v>6</v>
      </c>
      <c r="I25" s="203">
        <v>5</v>
      </c>
      <c r="J25" s="161">
        <v>4</v>
      </c>
      <c r="K25" s="45">
        <v>5</v>
      </c>
      <c r="L25" s="36"/>
      <c r="M25" s="31">
        <v>5</v>
      </c>
      <c r="N25" s="41">
        <v>9</v>
      </c>
      <c r="O25" s="49"/>
      <c r="P25" s="45">
        <v>7</v>
      </c>
      <c r="Q25" s="268">
        <f t="shared" si="5"/>
        <v>5.875</v>
      </c>
      <c r="R25" s="183">
        <f t="shared" si="0"/>
        <v>6</v>
      </c>
      <c r="S25" s="45">
        <v>9</v>
      </c>
      <c r="T25" s="42">
        <v>5</v>
      </c>
      <c r="U25" s="49"/>
      <c r="V25" s="31">
        <v>7</v>
      </c>
      <c r="W25" s="45">
        <v>6</v>
      </c>
      <c r="X25" s="161">
        <v>1</v>
      </c>
      <c r="Y25" s="52">
        <v>7</v>
      </c>
      <c r="Z25" s="299">
        <v>9</v>
      </c>
      <c r="AA25" s="326" t="s">
        <v>74</v>
      </c>
      <c r="AB25" s="329"/>
      <c r="AC25" s="31">
        <v>4</v>
      </c>
      <c r="AD25" s="247" t="s">
        <v>74</v>
      </c>
      <c r="AE25" s="335">
        <f t="shared" si="1"/>
        <v>6</v>
      </c>
      <c r="AF25" s="183">
        <f t="shared" si="2"/>
        <v>6</v>
      </c>
      <c r="AG25" s="183">
        <f t="shared" si="3"/>
        <v>6</v>
      </c>
    </row>
    <row r="26" spans="1:33" ht="12.75">
      <c r="A26" s="3">
        <f t="shared" si="4"/>
        <v>4.818181818181818</v>
      </c>
      <c r="B26" s="2">
        <v>24</v>
      </c>
      <c r="C26" s="2" t="s">
        <v>102</v>
      </c>
      <c r="D26" s="38"/>
      <c r="E26" s="37">
        <v>4</v>
      </c>
      <c r="F26" s="38"/>
      <c r="G26" s="5">
        <v>5</v>
      </c>
      <c r="H26" s="85">
        <v>8</v>
      </c>
      <c r="I26" s="82">
        <v>7</v>
      </c>
      <c r="J26" s="36">
        <v>5</v>
      </c>
      <c r="K26" s="45">
        <v>3</v>
      </c>
      <c r="L26" s="36"/>
      <c r="M26" s="135">
        <v>2</v>
      </c>
      <c r="N26" s="41">
        <v>7</v>
      </c>
      <c r="O26" s="49"/>
      <c r="P26" s="274">
        <v>9</v>
      </c>
      <c r="Q26" s="268">
        <f t="shared" si="5"/>
        <v>5.555555555555555</v>
      </c>
      <c r="R26" s="183">
        <f t="shared" si="0"/>
        <v>6</v>
      </c>
      <c r="S26" s="45">
        <v>8</v>
      </c>
      <c r="T26" s="241">
        <v>1</v>
      </c>
      <c r="U26" s="49"/>
      <c r="V26" s="31">
        <v>6</v>
      </c>
      <c r="W26" s="94">
        <v>4</v>
      </c>
      <c r="X26" s="161">
        <v>1</v>
      </c>
      <c r="Y26" s="340">
        <v>1</v>
      </c>
      <c r="Z26" s="49">
        <v>9</v>
      </c>
      <c r="AA26" s="45">
        <v>7</v>
      </c>
      <c r="AB26" s="36">
        <v>6</v>
      </c>
      <c r="AC26" s="31">
        <v>4</v>
      </c>
      <c r="AD26" s="41">
        <v>6</v>
      </c>
      <c r="AE26" s="335">
        <f t="shared" si="1"/>
        <v>4.818181818181818</v>
      </c>
      <c r="AF26" s="183">
        <f t="shared" si="2"/>
        <v>5</v>
      </c>
      <c r="AG26" s="183">
        <f t="shared" si="3"/>
        <v>5.5</v>
      </c>
    </row>
    <row r="27" spans="1:33" ht="12.75">
      <c r="A27" s="3">
        <f t="shared" si="4"/>
        <v>5.666666666666667</v>
      </c>
      <c r="B27" s="2">
        <v>25</v>
      </c>
      <c r="C27" s="14" t="s">
        <v>94</v>
      </c>
      <c r="D27" s="38"/>
      <c r="E27" s="37">
        <v>3</v>
      </c>
      <c r="F27" s="38"/>
      <c r="G27" s="5">
        <v>4</v>
      </c>
      <c r="H27" s="98" t="s">
        <v>74</v>
      </c>
      <c r="I27" s="82">
        <v>3</v>
      </c>
      <c r="J27" s="161">
        <v>3</v>
      </c>
      <c r="K27" s="45">
        <v>4</v>
      </c>
      <c r="L27" s="36">
        <v>4</v>
      </c>
      <c r="M27" s="135">
        <v>2</v>
      </c>
      <c r="N27" s="247" t="s">
        <v>74</v>
      </c>
      <c r="O27" s="49"/>
      <c r="P27" s="45">
        <v>7</v>
      </c>
      <c r="Q27" s="268">
        <f t="shared" si="5"/>
        <v>3.75</v>
      </c>
      <c r="R27" s="183">
        <f t="shared" si="0"/>
        <v>4</v>
      </c>
      <c r="S27" s="94">
        <v>3</v>
      </c>
      <c r="T27" s="42">
        <v>4</v>
      </c>
      <c r="U27" s="49">
        <v>6</v>
      </c>
      <c r="V27" s="31">
        <v>3</v>
      </c>
      <c r="W27" s="45">
        <v>4</v>
      </c>
      <c r="X27" s="36">
        <v>7</v>
      </c>
      <c r="Y27" s="52">
        <v>6</v>
      </c>
      <c r="Z27" s="49">
        <v>9</v>
      </c>
      <c r="AA27" s="45">
        <v>6</v>
      </c>
      <c r="AB27" s="36">
        <v>9</v>
      </c>
      <c r="AC27" s="31">
        <v>4</v>
      </c>
      <c r="AD27" s="41">
        <v>7</v>
      </c>
      <c r="AE27" s="335">
        <f t="shared" si="1"/>
        <v>5.666666666666667</v>
      </c>
      <c r="AF27" s="183">
        <f t="shared" si="2"/>
        <v>6</v>
      </c>
      <c r="AG27" s="183">
        <f t="shared" si="3"/>
        <v>5</v>
      </c>
    </row>
    <row r="28" spans="1:33" ht="12.75">
      <c r="A28" s="3">
        <f t="shared" si="4"/>
        <v>5.5</v>
      </c>
      <c r="B28" s="2">
        <v>26</v>
      </c>
      <c r="C28" s="14" t="s">
        <v>107</v>
      </c>
      <c r="D28" s="38"/>
      <c r="E28" s="41">
        <v>4</v>
      </c>
      <c r="F28" s="38"/>
      <c r="G28" s="5">
        <v>5</v>
      </c>
      <c r="H28" s="31">
        <v>8</v>
      </c>
      <c r="I28" s="41">
        <v>4</v>
      </c>
      <c r="J28" s="36">
        <v>3</v>
      </c>
      <c r="K28" s="45">
        <v>6</v>
      </c>
      <c r="L28" s="36"/>
      <c r="M28" s="135">
        <v>6</v>
      </c>
      <c r="N28" s="41">
        <v>7</v>
      </c>
      <c r="O28" s="49"/>
      <c r="P28" s="45">
        <v>10</v>
      </c>
      <c r="Q28" s="268">
        <f t="shared" si="5"/>
        <v>5.888888888888889</v>
      </c>
      <c r="R28" s="183">
        <f t="shared" si="0"/>
        <v>6</v>
      </c>
      <c r="S28" s="45">
        <v>5</v>
      </c>
      <c r="T28" s="42">
        <v>5</v>
      </c>
      <c r="U28" s="49">
        <v>7</v>
      </c>
      <c r="V28" s="135">
        <v>4</v>
      </c>
      <c r="W28" s="45">
        <v>6</v>
      </c>
      <c r="X28" s="161">
        <v>7</v>
      </c>
      <c r="Y28" s="52">
        <v>3</v>
      </c>
      <c r="Z28" s="49">
        <v>9</v>
      </c>
      <c r="AA28" s="45">
        <v>5</v>
      </c>
      <c r="AB28" s="36">
        <v>9</v>
      </c>
      <c r="AC28" s="135">
        <v>2</v>
      </c>
      <c r="AD28" s="269">
        <v>4</v>
      </c>
      <c r="AE28" s="335">
        <f t="shared" si="1"/>
        <v>5.5</v>
      </c>
      <c r="AF28" s="183">
        <f t="shared" si="2"/>
        <v>6</v>
      </c>
      <c r="AG28" s="183">
        <f t="shared" si="3"/>
        <v>6</v>
      </c>
    </row>
    <row r="29" spans="2:33" s="99" customFormat="1" ht="13.5" thickBot="1">
      <c r="B29" s="100"/>
      <c r="C29" s="180" t="s">
        <v>0</v>
      </c>
      <c r="D29" s="294">
        <f>AVERAGE(D3:D28)</f>
        <v>9</v>
      </c>
      <c r="E29" s="294">
        <f>AVERAGE(E3:E28)</f>
        <v>5</v>
      </c>
      <c r="F29" s="294">
        <f>AVERAGE(F3:F28)</f>
        <v>8</v>
      </c>
      <c r="G29" s="294">
        <f>AVERAGE(G3:G28)</f>
        <v>5.181818181818182</v>
      </c>
      <c r="H29" s="294">
        <f aca="true" t="shared" si="6" ref="H29:O29">AVERAGE(H3:H28)</f>
        <v>6.4</v>
      </c>
      <c r="I29" s="294">
        <f t="shared" si="6"/>
        <v>4.583333333333333</v>
      </c>
      <c r="J29" s="294">
        <f t="shared" si="6"/>
        <v>4.88</v>
      </c>
      <c r="K29" s="294">
        <f t="shared" si="6"/>
        <v>4.576923076923077</v>
      </c>
      <c r="L29" s="294">
        <f t="shared" si="6"/>
        <v>7.166666666666667</v>
      </c>
      <c r="M29" s="294">
        <f t="shared" si="6"/>
        <v>4.6</v>
      </c>
      <c r="N29" s="294">
        <f t="shared" si="6"/>
        <v>6.809523809523809</v>
      </c>
      <c r="O29" s="294">
        <f t="shared" si="6"/>
        <v>6.5</v>
      </c>
      <c r="P29" s="294">
        <f aca="true" t="shared" si="7" ref="P29:AG29">AVERAGE(P3:P28)</f>
        <v>7.846153846153846</v>
      </c>
      <c r="Q29" s="294">
        <f>AVERAGE(Q3:Q28)</f>
        <v>5.667979242979243</v>
      </c>
      <c r="R29" s="294">
        <f>AVERAGE(R3:R28)</f>
        <v>5.8076923076923075</v>
      </c>
      <c r="S29" s="308">
        <f t="shared" si="7"/>
        <v>6.576923076923077</v>
      </c>
      <c r="T29" s="184">
        <f t="shared" si="7"/>
        <v>5.615384615384615</v>
      </c>
      <c r="U29" s="102">
        <f t="shared" si="7"/>
        <v>7.222222222222222</v>
      </c>
      <c r="V29" s="103">
        <f t="shared" si="7"/>
        <v>6</v>
      </c>
      <c r="W29" s="213">
        <f t="shared" si="7"/>
        <v>5.6923076923076925</v>
      </c>
      <c r="X29" s="127">
        <f t="shared" si="7"/>
        <v>5.523809523809524</v>
      </c>
      <c r="Y29" s="184">
        <f t="shared" si="7"/>
        <v>4.75</v>
      </c>
      <c r="Z29" s="102">
        <f t="shared" si="7"/>
        <v>8.416666666666666</v>
      </c>
      <c r="AA29" s="213">
        <f t="shared" si="7"/>
        <v>6.909090909090909</v>
      </c>
      <c r="AB29" s="213">
        <f t="shared" si="7"/>
        <v>7.846153846153846</v>
      </c>
      <c r="AC29" s="103">
        <f t="shared" si="7"/>
        <v>4.730769230769231</v>
      </c>
      <c r="AD29" s="104">
        <f t="shared" si="7"/>
        <v>6.809523809523809</v>
      </c>
      <c r="AE29" s="327">
        <f t="shared" si="7"/>
        <v>6.152086802086801</v>
      </c>
      <c r="AF29" s="294">
        <f t="shared" si="7"/>
        <v>6.423076923076923</v>
      </c>
      <c r="AG29" s="294">
        <f t="shared" si="7"/>
        <v>6.115384615384615</v>
      </c>
    </row>
    <row r="30" spans="2:33" s="99" customFormat="1" ht="13.5" thickBot="1">
      <c r="B30" s="100"/>
      <c r="C30" s="109"/>
      <c r="D30" s="111" t="s">
        <v>197</v>
      </c>
      <c r="E30" s="114" t="s">
        <v>82</v>
      </c>
      <c r="F30" s="110" t="s">
        <v>197</v>
      </c>
      <c r="G30" s="112" t="s">
        <v>198</v>
      </c>
      <c r="H30" s="110" t="s">
        <v>215</v>
      </c>
      <c r="I30" s="112" t="s">
        <v>71</v>
      </c>
      <c r="J30" s="179" t="s">
        <v>273</v>
      </c>
      <c r="K30" s="112" t="s">
        <v>274</v>
      </c>
      <c r="L30" s="110" t="s">
        <v>197</v>
      </c>
      <c r="M30" s="110" t="s">
        <v>297</v>
      </c>
      <c r="N30" s="112" t="s">
        <v>289</v>
      </c>
      <c r="O30" s="112" t="s">
        <v>197</v>
      </c>
      <c r="P30" s="110" t="s">
        <v>303</v>
      </c>
      <c r="Q30" s="266"/>
      <c r="R30" s="265"/>
      <c r="S30" s="110" t="s">
        <v>301</v>
      </c>
      <c r="T30" s="110" t="s">
        <v>308</v>
      </c>
      <c r="U30" s="110" t="s">
        <v>197</v>
      </c>
      <c r="V30" s="110" t="s">
        <v>309</v>
      </c>
      <c r="W30" s="110" t="s">
        <v>372</v>
      </c>
      <c r="X30" s="110" t="s">
        <v>380</v>
      </c>
      <c r="Y30" s="110" t="s">
        <v>43</v>
      </c>
      <c r="Z30" s="110" t="s">
        <v>377</v>
      </c>
      <c r="AA30" s="110" t="s">
        <v>311</v>
      </c>
      <c r="AB30" s="110" t="s">
        <v>197</v>
      </c>
      <c r="AC30" s="110" t="s">
        <v>379</v>
      </c>
      <c r="AD30" s="112" t="s">
        <v>313</v>
      </c>
      <c r="AE30" s="116"/>
      <c r="AF30" s="117"/>
      <c r="AG30" s="257"/>
    </row>
    <row r="31" spans="2:33" s="118" customFormat="1" ht="13.5" thickBot="1">
      <c r="B31" s="100"/>
      <c r="C31" s="119" t="s">
        <v>32</v>
      </c>
      <c r="D31" s="442" t="s">
        <v>83</v>
      </c>
      <c r="E31" s="441"/>
      <c r="F31" s="442" t="s">
        <v>84</v>
      </c>
      <c r="G31" s="440"/>
      <c r="H31" s="440"/>
      <c r="I31" s="441"/>
      <c r="J31" s="442" t="s">
        <v>272</v>
      </c>
      <c r="K31" s="441"/>
      <c r="L31" s="442" t="s">
        <v>296</v>
      </c>
      <c r="M31" s="440"/>
      <c r="N31" s="441"/>
      <c r="O31" s="442" t="s">
        <v>304</v>
      </c>
      <c r="P31" s="440"/>
      <c r="Q31" s="440"/>
      <c r="R31" s="440"/>
      <c r="S31" s="441"/>
      <c r="T31" s="114" t="s">
        <v>373</v>
      </c>
      <c r="U31" s="442" t="s">
        <v>368</v>
      </c>
      <c r="V31" s="440"/>
      <c r="W31" s="441"/>
      <c r="X31" s="442" t="s">
        <v>378</v>
      </c>
      <c r="Y31" s="440"/>
      <c r="Z31" s="440"/>
      <c r="AA31" s="441"/>
      <c r="AB31" s="442" t="s">
        <v>386</v>
      </c>
      <c r="AC31" s="440"/>
      <c r="AD31" s="441"/>
      <c r="AE31" s="120">
        <f>AF31/$B$28</f>
        <v>0.9230769230769231</v>
      </c>
      <c r="AF31" s="121">
        <f>COUNTIF(AF3:AF28,"&gt;3")</f>
        <v>24</v>
      </c>
      <c r="AG31" s="257"/>
    </row>
    <row r="32" spans="2:33" s="118" customFormat="1" ht="12.75">
      <c r="B32" s="100"/>
      <c r="C32" s="334" t="s">
        <v>33</v>
      </c>
      <c r="D32" s="122"/>
      <c r="E32" s="122"/>
      <c r="F32"/>
      <c r="G32"/>
      <c r="H32"/>
      <c r="I32"/>
      <c r="J32"/>
      <c r="K32"/>
      <c r="L32"/>
      <c r="M32"/>
      <c r="N32"/>
      <c r="O32"/>
      <c r="P32"/>
      <c r="Q32" s="120">
        <f>R32/$B$28</f>
        <v>0.7307692307692307</v>
      </c>
      <c r="R32" s="121">
        <f>COUNTIF(R3:R28,"&gt;5")</f>
        <v>19</v>
      </c>
      <c r="S32"/>
      <c r="T32"/>
      <c r="U32"/>
      <c r="V32"/>
      <c r="W32"/>
      <c r="X32"/>
      <c r="Y32"/>
      <c r="Z32"/>
      <c r="AA32"/>
      <c r="AB32"/>
      <c r="AC32"/>
      <c r="AD32"/>
      <c r="AE32" s="120">
        <f>AF32/$B$28</f>
        <v>0.5</v>
      </c>
      <c r="AF32" s="121">
        <f>COUNTIF(AF3:AF28,"&gt;6")</f>
        <v>13</v>
      </c>
      <c r="AG32" s="257"/>
    </row>
    <row r="33" spans="1:21" ht="12.75">
      <c r="A33" s="3"/>
      <c r="U33" s="3"/>
    </row>
    <row r="34" ht="12.75">
      <c r="C34" t="s">
        <v>275</v>
      </c>
    </row>
  </sheetData>
  <sheetProtection/>
  <mergeCells count="8">
    <mergeCell ref="AB31:AD31"/>
    <mergeCell ref="X31:AA31"/>
    <mergeCell ref="U31:W31"/>
    <mergeCell ref="D31:E31"/>
    <mergeCell ref="F31:I31"/>
    <mergeCell ref="J31:K31"/>
    <mergeCell ref="L31:N31"/>
    <mergeCell ref="O31:S31"/>
  </mergeCells>
  <conditionalFormatting sqref="Q3:Q28 S29:AD29">
    <cfRule type="cellIs" priority="23" dxfId="1" operator="lessThan" stopIfTrue="1">
      <formula>2.5</formula>
    </cfRule>
    <cfRule type="cellIs" priority="24" dxfId="0" operator="greaterThanOrEqual" stopIfTrue="1">
      <formula>5.5</formula>
    </cfRule>
  </conditionalFormatting>
  <conditionalFormatting sqref="R3:R28">
    <cfRule type="cellIs" priority="21" dxfId="1" operator="lessThan" stopIfTrue="1">
      <formula>2.5</formula>
    </cfRule>
    <cfRule type="cellIs" priority="22" dxfId="0" operator="greaterThanOrEqual" stopIfTrue="1">
      <formula>5.5</formula>
    </cfRule>
  </conditionalFormatting>
  <conditionalFormatting sqref="Q29:R29">
    <cfRule type="cellIs" priority="19" dxfId="1" operator="lessThan" stopIfTrue="1">
      <formula>2.5</formula>
    </cfRule>
    <cfRule type="cellIs" priority="20" dxfId="0" operator="greaterThanOrEqual" stopIfTrue="1">
      <formula>5.5</formula>
    </cfRule>
  </conditionalFormatting>
  <conditionalFormatting sqref="AE29:AG29">
    <cfRule type="cellIs" priority="13" dxfId="1" operator="lessThan" stopIfTrue="1">
      <formula>2.5</formula>
    </cfRule>
    <cfRule type="cellIs" priority="14" dxfId="0" operator="greaterThanOrEqual" stopIfTrue="1">
      <formula>5.5</formula>
    </cfRule>
  </conditionalFormatting>
  <conditionalFormatting sqref="D29:P29">
    <cfRule type="cellIs" priority="9" dxfId="1" operator="lessThan" stopIfTrue="1">
      <formula>2.5</formula>
    </cfRule>
    <cfRule type="cellIs" priority="10" dxfId="0" operator="greaterThanOrEqual" stopIfTrue="1">
      <formula>5.5</formula>
    </cfRule>
  </conditionalFormatting>
  <conditionalFormatting sqref="AF3:AG28">
    <cfRule type="cellIs" priority="1" dxfId="1" operator="lessThan" stopIfTrue="1">
      <formula>2.5</formula>
    </cfRule>
    <cfRule type="cellIs" priority="2" dxfId="0" operator="greaterThanOrEqual" stopIfTrue="1">
      <formula>5.5</formula>
    </cfRule>
  </conditionalFormatting>
  <conditionalFormatting sqref="AE3:AE28">
    <cfRule type="cellIs" priority="3" dxfId="1" operator="lessThan" stopIfTrue="1">
      <formula>2.5</formula>
    </cfRule>
    <cfRule type="cellIs" priority="4" dxfId="0" operator="greaterThanOrEqual" stopIfTrue="1">
      <formula>5.5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Mike</cp:lastModifiedBy>
  <dcterms:created xsi:type="dcterms:W3CDTF">2004-12-18T17:35:54Z</dcterms:created>
  <dcterms:modified xsi:type="dcterms:W3CDTF">2021-06-30T08:45:01Z</dcterms:modified>
  <cp:category/>
  <cp:version/>
  <cp:contentType/>
  <cp:contentStatus/>
</cp:coreProperties>
</file>