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0.xml" ContentType="application/vnd.openxmlformats-officedocument.drawing+xml"/>
  <Override PartName="/xl/chartsheets/sheet2.xml" ContentType="application/vnd.openxmlformats-officedocument.spreadsheetml.chartsheet+xml"/>
  <Override PartName="/xl/drawings/drawing11.xml" ContentType="application/vnd.openxmlformats-officedocument.drawing+xml"/>
  <Override PartName="/xl/chartsheets/sheet3.xml" ContentType="application/vnd.openxmlformats-officedocument.spreadsheetml.chartsheet+xml"/>
  <Override PartName="/xl/drawings/drawing12.xml" ContentType="application/vnd.openxmlformats-officedocument.drawing+xml"/>
  <Override PartName="/xl/chartsheets/sheet4.xml" ContentType="application/vnd.openxmlformats-officedocument.spreadsheetml.chartsheet+xml"/>
  <Override PartName="/xl/drawings/drawing13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5296" windowWidth="11355" windowHeight="8880" tabRatio="753" firstSheet="9" activeTab="12"/>
  </bookViews>
  <sheets>
    <sheet name="23в-1_ПО" sheetId="1" r:id="rId1"/>
    <sheet name="24вк-1_ПО" sheetId="2" r:id="rId2"/>
    <sheet name="44ппа-1_Прогр" sheetId="3" r:id="rId3"/>
    <sheet name="44ппа_САПР" sheetId="4" r:id="rId4"/>
    <sheet name="45пп-1_Прогр" sheetId="5" r:id="rId5"/>
    <sheet name="46ппа-1_Прогр" sheetId="6" r:id="rId6"/>
    <sheet name="46ппа-1_ИТ" sheetId="7" r:id="rId7"/>
    <sheet name="209ту-1_СК_ИТ" sheetId="8" r:id="rId8"/>
    <sheet name="210тку-1_СК_ИТ" sheetId="9" r:id="rId9"/>
    <sheet name="Отчет" sheetId="10" r:id="rId10"/>
    <sheet name="Лучшие" sheetId="11" r:id="rId11"/>
    <sheet name="Худшие" sheetId="12" r:id="rId12"/>
    <sheet name="Ср_балл" sheetId="13" r:id="rId13"/>
    <sheet name="Кач_успев" sheetId="14" r:id="rId14"/>
    <sheet name="Оценки" sheetId="15" r:id="rId15"/>
    <sheet name="Успеваемость" sheetId="16" r:id="rId16"/>
    <sheet name="Среднее_по_семестрам" sheetId="17" r:id="rId17"/>
  </sheets>
  <definedNames>
    <definedName name="a" localSheetId="3">'44ппа_САПР'!$B$3</definedName>
    <definedName name="a">'46ппа-1_ИТ'!$B$3</definedName>
  </definedNames>
  <calcPr fullCalcOnLoad="1"/>
</workbook>
</file>

<file path=xl/sharedStrings.xml><?xml version="1.0" encoding="utf-8"?>
<sst xmlns="http://schemas.openxmlformats.org/spreadsheetml/2006/main" count="560" uniqueCount="278">
  <si>
    <t>Среднее по группе:</t>
  </si>
  <si>
    <t>ОКР№1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</si>
  <si>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</si>
  <si>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</si>
  <si>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</si>
  <si>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</si>
  <si>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</si>
  <si>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</si>
  <si>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</si>
  <si>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</si>
  <si>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</si>
  <si>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</si>
  <si>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</si>
  <si>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</si>
  <si>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</si>
  <si>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</si>
  <si>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</si>
  <si>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Информационные технологии (ИТ):</t>
  </si>
  <si>
    <t>К-во уч-ся</t>
  </si>
  <si>
    <t>Оценки</t>
  </si>
  <si>
    <t>Всего за семестр:</t>
  </si>
  <si>
    <t>V сем.</t>
  </si>
  <si>
    <t>Delphi</t>
  </si>
  <si>
    <t>Группа</t>
  </si>
  <si>
    <t>Ср.балл</t>
  </si>
  <si>
    <t>Лучшие уч-ся:</t>
  </si>
  <si>
    <t>Фамилия Имя</t>
  </si>
  <si>
    <t>Худшие уч-ся:</t>
  </si>
  <si>
    <t>max =</t>
  </si>
  <si>
    <t xml:space="preserve"> = min</t>
  </si>
  <si>
    <t>Отлично</t>
  </si>
  <si>
    <t>Хорошо</t>
  </si>
  <si>
    <t>Удовлетв.</t>
  </si>
  <si>
    <t>Неудовл.</t>
  </si>
  <si>
    <t>Неаттест.</t>
  </si>
  <si>
    <t>Компас</t>
  </si>
  <si>
    <t>Кол-во и % усп. (4 -10)</t>
  </si>
  <si>
    <t>Кол-во и % качеств. усп. (7-10)</t>
  </si>
  <si>
    <t xml:space="preserve">Спец. курс "Информационные технологии" (СК ИТ): </t>
  </si>
  <si>
    <t>Отлично (9-10)</t>
  </si>
  <si>
    <t>Хорошо (7-8)</t>
  </si>
  <si>
    <t>Удовл. (4-6)</t>
  </si>
  <si>
    <t>Неудовл. (0-3)</t>
  </si>
  <si>
    <t>Неатестовано</t>
  </si>
  <si>
    <t>Средний балл и качественная успеваемость по семестрам.</t>
  </si>
  <si>
    <t>Кач.усп (%)</t>
  </si>
  <si>
    <t>Кол. и % усп. (4 -10)</t>
  </si>
  <si>
    <t>Кол. и % кач. усп. (7-10)</t>
  </si>
  <si>
    <t>Кол-во и % кач. усп. (7-10)</t>
  </si>
  <si>
    <t>MathCad</t>
  </si>
  <si>
    <t>Программное обеспечение (ПО):</t>
  </si>
  <si>
    <t>Основы программирования (Прогр.):</t>
  </si>
  <si>
    <t>07/08-I</t>
  </si>
  <si>
    <t>07/08-II</t>
  </si>
  <si>
    <t>08/09-I</t>
  </si>
  <si>
    <t>08/09-II</t>
  </si>
  <si>
    <t>09/10-I</t>
  </si>
  <si>
    <t>09/10-II</t>
  </si>
  <si>
    <t>10/11-I</t>
  </si>
  <si>
    <t>10/11-II</t>
  </si>
  <si>
    <t>11/12-I</t>
  </si>
  <si>
    <t>ЛР1</t>
  </si>
  <si>
    <t>ЛР2</t>
  </si>
  <si>
    <t>ЛР3</t>
  </si>
  <si>
    <t>ЛР4.1</t>
  </si>
  <si>
    <t>ЛР4.2</t>
  </si>
  <si>
    <t>ОКР1</t>
  </si>
  <si>
    <t>ЛР7</t>
  </si>
  <si>
    <t>ЛР9</t>
  </si>
  <si>
    <t>ЛР5</t>
  </si>
  <si>
    <t>ЛР1.5</t>
  </si>
  <si>
    <t>11/12-II</t>
  </si>
  <si>
    <t>12/13-I</t>
  </si>
  <si>
    <t>№</t>
  </si>
  <si>
    <t>№ комп.</t>
  </si>
  <si>
    <t>Вельб Андрей</t>
  </si>
  <si>
    <t>Компас-3D</t>
  </si>
  <si>
    <t>Системы автоматизиров. проектирования (САПР)</t>
  </si>
  <si>
    <t>Варианты:</t>
  </si>
  <si>
    <t>ЛР8</t>
  </si>
  <si>
    <t>Коминч Александр</t>
  </si>
  <si>
    <t>1 гр. - N (N - номер компьютера)</t>
  </si>
  <si>
    <t>Варианты по номеру компьютера (N)</t>
  </si>
  <si>
    <t>1 гр. - N + 13 (N - номер компьютера)</t>
  </si>
  <si>
    <t>2 гр. - N</t>
  </si>
  <si>
    <t>12/13-II</t>
  </si>
  <si>
    <t>13/14-I</t>
  </si>
  <si>
    <t>Программное обеспечение, гр. 23в-1, 3 курс.</t>
  </si>
  <si>
    <t>Андрыш Артём</t>
  </si>
  <si>
    <t>Будай Екатерина</t>
  </si>
  <si>
    <t>Василенко Павел</t>
  </si>
  <si>
    <t>Вербицкий Максим</t>
  </si>
  <si>
    <t>Гемза Максим</t>
  </si>
  <si>
    <t>Жилинский Эмиль</t>
  </si>
  <si>
    <t>Ивуть Павел</t>
  </si>
  <si>
    <t>Карасёв Владислав</t>
  </si>
  <si>
    <t>Колодко Дмитрий</t>
  </si>
  <si>
    <t>Микишко Роман</t>
  </si>
  <si>
    <t>Милюшкевич Виталий</t>
  </si>
  <si>
    <t>Программное обеспечение, гр. 24вк-1, 3 курс.</t>
  </si>
  <si>
    <t>Адамчик Сергей</t>
  </si>
  <si>
    <t>Валюк Максим</t>
  </si>
  <si>
    <t>Винглевский Денис</t>
  </si>
  <si>
    <t>Воловицкий Костя</t>
  </si>
  <si>
    <t>Голец Владимир</t>
  </si>
  <si>
    <t>Емельянчик Вадим</t>
  </si>
  <si>
    <t>Завадский Артем</t>
  </si>
  <si>
    <t>Зверко Артем</t>
  </si>
  <si>
    <t>Зневеровский Егор</t>
  </si>
  <si>
    <t>Клышейко Дмитрий</t>
  </si>
  <si>
    <t>Коренной Ростислав</t>
  </si>
  <si>
    <t>Макарчук Андрей</t>
  </si>
  <si>
    <t>Основы программирования, гр. 44ппа-1, 3 курс.</t>
  </si>
  <si>
    <t>Основы программирования, гр. 45пп-1, 3 курс.</t>
  </si>
  <si>
    <t>Архипов Александр</t>
  </si>
  <si>
    <t>Банцевич Павел</t>
  </si>
  <si>
    <t>Беняш Владислав</t>
  </si>
  <si>
    <t>Богдевич Игорь</t>
  </si>
  <si>
    <t>Винча Евгений</t>
  </si>
  <si>
    <t>Войткун Роман</t>
  </si>
  <si>
    <t>Гульник Виталий</t>
  </si>
  <si>
    <t>Домбровский Владислав</t>
  </si>
  <si>
    <t>Ирчиц Илья</t>
  </si>
  <si>
    <t>Картовицкий Евгений</t>
  </si>
  <si>
    <t>Качура Максим</t>
  </si>
  <si>
    <t>Колешко Алексей</t>
  </si>
  <si>
    <t>Конон Александр</t>
  </si>
  <si>
    <t>Белов Иван</t>
  </si>
  <si>
    <t>Боярчик Илона</t>
  </si>
  <si>
    <t>Бурблис Илья</t>
  </si>
  <si>
    <t>Дворонин Дмитрий</t>
  </si>
  <si>
    <t>Жамойтин Сергей</t>
  </si>
  <si>
    <t>Ивашевич Екатерина</t>
  </si>
  <si>
    <t>Игнатчик Денис</t>
  </si>
  <si>
    <t>Ильченко Алеся</t>
  </si>
  <si>
    <t>Кузнецов Сергей</t>
  </si>
  <si>
    <t>Латыш Владислав</t>
  </si>
  <si>
    <t>Спец. курс "Информационные технологии", гр. 209ту, 2 курс.</t>
  </si>
  <si>
    <t>Спец. курс "Информационные технологии", гр. 210тку, 2 курс.</t>
  </si>
  <si>
    <t>44ппа-1</t>
  </si>
  <si>
    <t>45пп-1</t>
  </si>
  <si>
    <t>23в-1</t>
  </si>
  <si>
    <t>24вк-1</t>
  </si>
  <si>
    <t>209ту-1</t>
  </si>
  <si>
    <t>210тку-1</t>
  </si>
  <si>
    <t>23в-1 ПО</t>
  </si>
  <si>
    <t>24вк-1 ПО</t>
  </si>
  <si>
    <t>44ппа-1 Прогр.</t>
  </si>
  <si>
    <t>45пп-1 Прогр.</t>
  </si>
  <si>
    <t>209ту-1 СК ИТ</t>
  </si>
  <si>
    <t>210тку-1 СК ИТ</t>
  </si>
  <si>
    <t>13/14-II</t>
  </si>
  <si>
    <t>Автух Владислав</t>
  </si>
  <si>
    <t>Богдель Вадим</t>
  </si>
  <si>
    <t>Барковский Виталий</t>
  </si>
  <si>
    <t>Бражицкий Артур</t>
  </si>
  <si>
    <t>Гриб Никита</t>
  </si>
  <si>
    <t>Дыль Антон</t>
  </si>
  <si>
    <t>Капуста Дмитрий</t>
  </si>
  <si>
    <t>Кургун Павел</t>
  </si>
  <si>
    <t>Кушель Алексей</t>
  </si>
  <si>
    <t>Невядомский Алексей</t>
  </si>
  <si>
    <t>Орловский Максим</t>
  </si>
  <si>
    <t>Т1</t>
  </si>
  <si>
    <t>Т2</t>
  </si>
  <si>
    <t>Андалюкевич Евгений</t>
  </si>
  <si>
    <t>Ахмиров Илья</t>
  </si>
  <si>
    <t>Баранов Артем</t>
  </si>
  <si>
    <t>Блажевич Денис</t>
  </si>
  <si>
    <t>Бразовский Андрей</t>
  </si>
  <si>
    <t>Бутько Евгений</t>
  </si>
  <si>
    <t>Дашкевич Евгений</t>
  </si>
  <si>
    <t>Ендза Евгений</t>
  </si>
  <si>
    <t>Жарский Владислав</t>
  </si>
  <si>
    <t>Илбуть Виктор</t>
  </si>
  <si>
    <t>Варианты:N+13 (N - номер компьютера)</t>
  </si>
  <si>
    <t>1</t>
  </si>
  <si>
    <t>14/15-I</t>
  </si>
  <si>
    <t>VI сем.</t>
  </si>
  <si>
    <t>ЛР10</t>
  </si>
  <si>
    <t>ЛР11</t>
  </si>
  <si>
    <t>ЛР12</t>
  </si>
  <si>
    <t>ЛР13.1</t>
  </si>
  <si>
    <t>ЛР13.2</t>
  </si>
  <si>
    <t>ЛР14</t>
  </si>
  <si>
    <t>ЛР15</t>
  </si>
  <si>
    <t>ОКР2</t>
  </si>
  <si>
    <t>Варианты: N + 11 (N - номер компьютера).</t>
  </si>
  <si>
    <t>Варианты по номеру компьютера (N).</t>
  </si>
  <si>
    <t>Варианты N+11 (N - номер комп.)</t>
  </si>
  <si>
    <t>Системы автоматизированного проектирования, гр. 44ппа, 3 курс.</t>
  </si>
  <si>
    <t>Варианты: N (N - номер комп.)</t>
  </si>
  <si>
    <t>Программирование, гр. 46ппа-1, 2 курс.</t>
  </si>
  <si>
    <t>Информационные технологии, гр. 46ппа, 2 курс.</t>
  </si>
  <si>
    <t>ЛР2.1</t>
  </si>
  <si>
    <t>ЛР2.2</t>
  </si>
  <si>
    <t>ЛР2.3</t>
  </si>
  <si>
    <t>ЛР2.4</t>
  </si>
  <si>
    <t>ТКР2</t>
  </si>
  <si>
    <t>2-й семестр 2014-15 уч.г.</t>
  </si>
  <si>
    <t>46ппа-1</t>
  </si>
  <si>
    <t>44ппа</t>
  </si>
  <si>
    <t>Экзамен</t>
  </si>
  <si>
    <t>ОКР№2</t>
  </si>
  <si>
    <t>Итог</t>
  </si>
  <si>
    <t>IV сем.</t>
  </si>
  <si>
    <t>н</t>
  </si>
  <si>
    <t>III сем.</t>
  </si>
  <si>
    <t>44ппа САПР</t>
  </si>
  <si>
    <t>46ппа-1 ИТ</t>
  </si>
  <si>
    <t>46ппа-1 Прогр.</t>
  </si>
  <si>
    <t>14/15-II</t>
  </si>
  <si>
    <t>Бернацкий Алексей</t>
  </si>
  <si>
    <t>Гончарёнок Евгений</t>
  </si>
  <si>
    <t>Гришкевич Андрей</t>
  </si>
  <si>
    <t xml:space="preserve">Гришко Евгений </t>
  </si>
  <si>
    <t>Дутко Артем</t>
  </si>
  <si>
    <t>Змитрович Станислав</t>
  </si>
  <si>
    <t>Змитрович Александр</t>
  </si>
  <si>
    <t>Карпович Дмитрий</t>
  </si>
  <si>
    <t>Колошиц Владислав</t>
  </si>
  <si>
    <t>Лагезо Артур</t>
  </si>
  <si>
    <t>Лисовский Павел</t>
  </si>
  <si>
    <t>Мисюро Александр</t>
  </si>
  <si>
    <t>Мороз Михаил</t>
  </si>
  <si>
    <t>Лычагин Александр</t>
  </si>
  <si>
    <t>Панкевич Евгений</t>
  </si>
  <si>
    <t>Петровский Евгений</t>
  </si>
  <si>
    <t>Позняк Иван</t>
  </si>
  <si>
    <t>Пясецкий Евгений</t>
  </si>
  <si>
    <t>Рахманов Андрей</t>
  </si>
  <si>
    <t>Романцевич Артем</t>
  </si>
  <si>
    <t>Рум Олег</t>
  </si>
  <si>
    <t>Руселевич Андрей</t>
  </si>
  <si>
    <t>Станкуть Кирилл</t>
  </si>
  <si>
    <t>Цесто Артем</t>
  </si>
  <si>
    <t>Щетько Руслан</t>
  </si>
  <si>
    <t>Юркевич Игорь</t>
  </si>
  <si>
    <t>Т1, ЛР1</t>
  </si>
  <si>
    <t>Т2, ЛР2</t>
  </si>
  <si>
    <t>5/1</t>
  </si>
  <si>
    <t>13/12</t>
  </si>
  <si>
    <t>10/11</t>
  </si>
  <si>
    <t>Мицкевич Алексей</t>
  </si>
  <si>
    <t>Мышко Илья</t>
  </si>
  <si>
    <t>Неверо Игорь</t>
  </si>
  <si>
    <t>Новик Дмитрий</t>
  </si>
  <si>
    <t>Поль Евгений</t>
  </si>
  <si>
    <t>Сокол Виктор</t>
  </si>
  <si>
    <t>Станкевич Михаил</t>
  </si>
  <si>
    <t>Станюкевич Никита</t>
  </si>
  <si>
    <t>Федорович Илья</t>
  </si>
  <si>
    <t>Филипчик Павел</t>
  </si>
  <si>
    <t>Шибайло Дмитрий</t>
  </si>
  <si>
    <t>Новаковский Данниил</t>
  </si>
  <si>
    <t>Олефирович Алексей</t>
  </si>
  <si>
    <t>Плюто Кирилл</t>
  </si>
  <si>
    <t>Таренть Владислав</t>
  </si>
  <si>
    <t>Тишук Алексей</t>
  </si>
  <si>
    <t>Филиппович Алексей</t>
  </si>
  <si>
    <t>Шейко Артур</t>
  </si>
  <si>
    <t>Шершнев Олег</t>
  </si>
  <si>
    <t>Щепук Вадим</t>
  </si>
  <si>
    <t>Ялошевский Антон</t>
  </si>
  <si>
    <t>Янцалевич Дмитрий</t>
  </si>
  <si>
    <t>Ярмошук Юрий</t>
  </si>
  <si>
    <t>7/8</t>
  </si>
  <si>
    <t>9/6</t>
  </si>
  <si>
    <t>ЛР4-5</t>
  </si>
  <si>
    <t>8</t>
  </si>
  <si>
    <t>6</t>
  </si>
  <si>
    <t>13</t>
  </si>
  <si>
    <t>7</t>
  </si>
  <si>
    <t>5</t>
  </si>
  <si>
    <t>9</t>
  </si>
  <si>
    <t>10</t>
  </si>
  <si>
    <t>ЛР4</t>
  </si>
  <si>
    <t>ЛР6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</si>
</sst>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h:mm:ss;@"/>
    <numFmt numFmtId="175" formatCode="d/m;@"/>
    <numFmt numFmtId="176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8.25"/>
      <color indexed="8"/>
      <name val="Arial Cyr"/>
      <family val="0"/>
    </font>
    <font>
      <sz val="8.75"/>
      <color indexed="8"/>
      <name val="Arial Cyr"/>
      <family val="0"/>
    </font>
    <font>
      <sz val="10"/>
      <color indexed="8"/>
      <name val="Arial Cyr"/>
      <family val="0"/>
    </font>
    <font>
      <sz val="16.75"/>
      <color indexed="8"/>
      <name val="Arial Cyr"/>
      <family val="0"/>
    </font>
    <font>
      <sz val="17"/>
      <color indexed="8"/>
      <name val="Arial Cyr"/>
      <family val="0"/>
    </font>
    <font>
      <sz val="8.5"/>
      <color indexed="8"/>
      <name val="Arial Cyr"/>
      <family val="0"/>
    </font>
    <font>
      <sz val="9.5"/>
      <color indexed="8"/>
      <name val="Arial Cyr"/>
      <family val="0"/>
    </font>
    <font>
      <sz val="11"/>
      <color indexed="8"/>
      <name val="Arial Cyr"/>
      <family val="0"/>
    </font>
    <font>
      <sz val="10.75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5"/>
      <color indexed="8"/>
      <name val="Arial Cyr"/>
      <family val="0"/>
    </font>
    <font>
      <b/>
      <sz val="10.5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b/>
      <sz val="9"/>
      <name val="Arial Cyr"/>
      <family val="0"/>
    </font>
    <font>
      <b/>
      <sz val="9"/>
      <color indexed="13"/>
      <name val="Arial Cyr"/>
      <family val="0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2" fontId="0" fillId="0" borderId="0" xfId="0" applyNumberFormat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0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2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2" fillId="20" borderId="10" xfId="0" applyNumberFormat="1" applyFont="1" applyFill="1" applyBorder="1" applyAlignment="1">
      <alignment horizontal="center"/>
    </xf>
    <xf numFmtId="9" fontId="2" fillId="20" borderId="10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0" fontId="0" fillId="20" borderId="12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0" fontId="2" fillId="4" borderId="14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2" fontId="2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174" fontId="0" fillId="0" borderId="0" xfId="0" applyNumberFormat="1" applyAlignment="1">
      <alignment/>
    </xf>
    <xf numFmtId="0" fontId="0" fillId="20" borderId="16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2" fillId="20" borderId="14" xfId="0" applyFont="1" applyFill="1" applyBorder="1" applyAlignment="1">
      <alignment/>
    </xf>
    <xf numFmtId="0" fontId="0" fillId="20" borderId="18" xfId="0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1" fontId="2" fillId="20" borderId="16" xfId="0" applyNumberFormat="1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20" borderId="21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23" xfId="0" applyFill="1" applyBorder="1" applyAlignment="1">
      <alignment horizontal="center" vertical="center"/>
    </xf>
    <xf numFmtId="0" fontId="2" fillId="20" borderId="24" xfId="0" applyFont="1" applyFill="1" applyBorder="1" applyAlignment="1">
      <alignment horizontal="center" vertical="center"/>
    </xf>
    <xf numFmtId="1" fontId="2" fillId="20" borderId="25" xfId="0" applyNumberFormat="1" applyFont="1" applyFill="1" applyBorder="1" applyAlignment="1">
      <alignment horizontal="center" vertical="center"/>
    </xf>
    <xf numFmtId="0" fontId="0" fillId="20" borderId="26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9" fontId="2" fillId="20" borderId="13" xfId="0" applyNumberFormat="1" applyFont="1" applyFill="1" applyBorder="1" applyAlignment="1">
      <alignment horizontal="center"/>
    </xf>
    <xf numFmtId="0" fontId="2" fillId="20" borderId="27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20" borderId="28" xfId="0" applyFont="1" applyFill="1" applyBorder="1" applyAlignment="1">
      <alignment horizontal="center"/>
    </xf>
    <xf numFmtId="0" fontId="2" fillId="20" borderId="14" xfId="0" applyFont="1" applyFill="1" applyBorder="1" applyAlignment="1">
      <alignment/>
    </xf>
    <xf numFmtId="0" fontId="0" fillId="0" borderId="15" xfId="0" applyBorder="1" applyAlignment="1">
      <alignment horizontal="left"/>
    </xf>
    <xf numFmtId="2" fontId="2" fillId="20" borderId="29" xfId="0" applyNumberFormat="1" applyFont="1" applyFill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175" fontId="0" fillId="0" borderId="25" xfId="0" applyNumberForma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2" fontId="2" fillId="20" borderId="34" xfId="0" applyNumberFormat="1" applyFont="1" applyFill="1" applyBorder="1" applyAlignment="1">
      <alignment horizontal="center"/>
    </xf>
    <xf numFmtId="2" fontId="2" fillId="20" borderId="35" xfId="0" applyNumberFormat="1" applyFont="1" applyFill="1" applyBorder="1" applyAlignment="1">
      <alignment horizontal="center"/>
    </xf>
    <xf numFmtId="175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2" fontId="2" fillId="20" borderId="38" xfId="0" applyNumberFormat="1" applyFont="1" applyFill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2" fontId="0" fillId="20" borderId="40" xfId="0" applyNumberFormat="1" applyFill="1" applyBorder="1" applyAlignment="1">
      <alignment/>
    </xf>
    <xf numFmtId="10" fontId="2" fillId="20" borderId="13" xfId="0" applyNumberFormat="1" applyFont="1" applyFill="1" applyBorder="1" applyAlignment="1">
      <alignment horizontal="center"/>
    </xf>
    <xf numFmtId="0" fontId="2" fillId="20" borderId="28" xfId="0" applyFont="1" applyFill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2" fontId="2" fillId="20" borderId="13" xfId="0" applyNumberFormat="1" applyFont="1" applyFill="1" applyBorder="1" applyAlignment="1">
      <alignment horizontal="center"/>
    </xf>
    <xf numFmtId="0" fontId="2" fillId="20" borderId="26" xfId="0" applyFont="1" applyFill="1" applyBorder="1" applyAlignment="1">
      <alignment/>
    </xf>
    <xf numFmtId="0" fontId="2" fillId="20" borderId="42" xfId="0" applyFont="1" applyFill="1" applyBorder="1" applyAlignment="1">
      <alignment/>
    </xf>
    <xf numFmtId="2" fontId="0" fillId="20" borderId="13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20" borderId="43" xfId="0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0" fillId="0" borderId="42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2" fillId="20" borderId="28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2" fontId="2" fillId="20" borderId="45" xfId="0" applyNumberFormat="1" applyFont="1" applyFill="1" applyBorder="1" applyAlignment="1">
      <alignment horizontal="center"/>
    </xf>
    <xf numFmtId="175" fontId="0" fillId="0" borderId="24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2" fontId="2" fillId="20" borderId="33" xfId="0" applyNumberFormat="1" applyFont="1" applyFill="1" applyBorder="1" applyAlignment="1">
      <alignment horizontal="center"/>
    </xf>
    <xf numFmtId="175" fontId="0" fillId="0" borderId="23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75" fontId="0" fillId="0" borderId="46" xfId="0" applyNumberFormat="1" applyBorder="1" applyAlignment="1">
      <alignment horizontal="center"/>
    </xf>
    <xf numFmtId="2" fontId="2" fillId="20" borderId="47" xfId="0" applyNumberFormat="1" applyFont="1" applyFill="1" applyBorder="1" applyAlignment="1">
      <alignment horizontal="center"/>
    </xf>
    <xf numFmtId="0" fontId="2" fillId="20" borderId="48" xfId="0" applyFont="1" applyFill="1" applyBorder="1" applyAlignment="1">
      <alignment horizontal="center"/>
    </xf>
    <xf numFmtId="175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1" xfId="0" applyFont="1" applyBorder="1" applyAlignment="1">
      <alignment horizontal="center"/>
    </xf>
    <xf numFmtId="2" fontId="2" fillId="20" borderId="52" xfId="0" applyNumberFormat="1" applyFont="1" applyFill="1" applyBorder="1" applyAlignment="1">
      <alignment horizontal="center"/>
    </xf>
    <xf numFmtId="0" fontId="0" fillId="20" borderId="18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32" xfId="0" applyFill="1" applyBorder="1" applyAlignment="1">
      <alignment/>
    </xf>
    <xf numFmtId="0" fontId="0" fillId="20" borderId="53" xfId="0" applyFill="1" applyBorder="1" applyAlignment="1">
      <alignment/>
    </xf>
    <xf numFmtId="0" fontId="0" fillId="0" borderId="50" xfId="0" applyFont="1" applyBorder="1" applyAlignment="1">
      <alignment horizontal="center"/>
    </xf>
    <xf numFmtId="2" fontId="2" fillId="20" borderId="3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5" xfId="0" applyFont="1" applyBorder="1" applyAlignment="1">
      <alignment horizontal="center"/>
    </xf>
    <xf numFmtId="49" fontId="0" fillId="20" borderId="14" xfId="0" applyNumberFormat="1" applyFill="1" applyBorder="1" applyAlignment="1">
      <alignment horizontal="center"/>
    </xf>
    <xf numFmtId="0" fontId="42" fillId="0" borderId="33" xfId="0" applyFont="1" applyBorder="1" applyAlignment="1">
      <alignment horizontal="center"/>
    </xf>
    <xf numFmtId="2" fontId="2" fillId="20" borderId="51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2" fontId="2" fillId="20" borderId="15" xfId="0" applyNumberFormat="1" applyFont="1" applyFill="1" applyBorder="1" applyAlignment="1">
      <alignment horizontal="center"/>
    </xf>
    <xf numFmtId="0" fontId="0" fillId="20" borderId="10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2" fontId="2" fillId="20" borderId="14" xfId="0" applyNumberFormat="1" applyFont="1" applyFill="1" applyBorder="1" applyAlignment="1">
      <alignment horizontal="center"/>
    </xf>
    <xf numFmtId="2" fontId="2" fillId="20" borderId="56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75" fontId="0" fillId="0" borderId="2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175" fontId="0" fillId="0" borderId="57" xfId="0" applyNumberFormat="1" applyBorder="1" applyAlignment="1">
      <alignment horizontal="center"/>
    </xf>
    <xf numFmtId="0" fontId="2" fillId="20" borderId="48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175" fontId="0" fillId="0" borderId="58" xfId="0" applyNumberFormat="1" applyBorder="1" applyAlignment="1">
      <alignment horizontal="center"/>
    </xf>
    <xf numFmtId="2" fontId="2" fillId="20" borderId="59" xfId="0" applyNumberFormat="1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2" fillId="20" borderId="39" xfId="0" applyFont="1" applyFill="1" applyBorder="1" applyAlignment="1">
      <alignment/>
    </xf>
    <xf numFmtId="175" fontId="0" fillId="0" borderId="61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175" fontId="0" fillId="0" borderId="62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75" fontId="0" fillId="0" borderId="63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0" xfId="0" applyFont="1" applyBorder="1" applyAlignment="1">
      <alignment/>
    </xf>
    <xf numFmtId="1" fontId="2" fillId="20" borderId="65" xfId="0" applyNumberFormat="1" applyFont="1" applyFill="1" applyBorder="1" applyAlignment="1">
      <alignment horizontal="center" vertical="center"/>
    </xf>
    <xf numFmtId="1" fontId="2" fillId="20" borderId="36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0" fillId="0" borderId="66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2" fontId="2" fillId="0" borderId="16" xfId="0" applyNumberFormat="1" applyFon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2" fillId="0" borderId="55" xfId="0" applyNumberFormat="1" applyFont="1" applyBorder="1" applyAlignment="1">
      <alignment horizontal="center"/>
    </xf>
    <xf numFmtId="0" fontId="0" fillId="0" borderId="67" xfId="0" applyBorder="1" applyAlignment="1">
      <alignment horizontal="left"/>
    </xf>
    <xf numFmtId="9" fontId="2" fillId="0" borderId="31" xfId="0" applyNumberFormat="1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53" xfId="0" applyBorder="1" applyAlignment="1">
      <alignment/>
    </xf>
    <xf numFmtId="0" fontId="0" fillId="0" borderId="69" xfId="0" applyBorder="1" applyAlignment="1">
      <alignment/>
    </xf>
    <xf numFmtId="2" fontId="2" fillId="0" borderId="53" xfId="0" applyNumberFormat="1" applyFont="1" applyBorder="1" applyAlignment="1">
      <alignment horizontal="center"/>
    </xf>
    <xf numFmtId="9" fontId="0" fillId="0" borderId="69" xfId="0" applyNumberFormat="1" applyBorder="1" applyAlignment="1">
      <alignment horizontal="center"/>
    </xf>
    <xf numFmtId="9" fontId="2" fillId="0" borderId="70" xfId="0" applyNumberFormat="1" applyFont="1" applyBorder="1" applyAlignment="1">
      <alignment horizontal="center"/>
    </xf>
    <xf numFmtId="0" fontId="0" fillId="0" borderId="66" xfId="0" applyBorder="1" applyAlignment="1">
      <alignment/>
    </xf>
    <xf numFmtId="0" fontId="0" fillId="0" borderId="19" xfId="0" applyBorder="1" applyAlignment="1">
      <alignment/>
    </xf>
    <xf numFmtId="0" fontId="0" fillId="0" borderId="71" xfId="0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9" fontId="2" fillId="0" borderId="22" xfId="0" applyNumberFormat="1" applyFont="1" applyBorder="1" applyAlignment="1">
      <alignment horizontal="center"/>
    </xf>
    <xf numFmtId="9" fontId="2" fillId="0" borderId="25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2" fontId="2" fillId="20" borderId="7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2" fillId="0" borderId="13" xfId="0" applyFont="1" applyBorder="1" applyAlignment="1">
      <alignment horizontal="center"/>
    </xf>
    <xf numFmtId="175" fontId="0" fillId="0" borderId="65" xfId="0" applyNumberFormat="1" applyBorder="1" applyAlignment="1">
      <alignment horizontal="center"/>
    </xf>
    <xf numFmtId="0" fontId="42" fillId="0" borderId="15" xfId="0" applyFont="1" applyBorder="1" applyAlignment="1">
      <alignment horizontal="center"/>
    </xf>
    <xf numFmtId="49" fontId="0" fillId="20" borderId="26" xfId="0" applyNumberFormat="1" applyFill="1" applyBorder="1" applyAlignment="1">
      <alignment horizontal="center"/>
    </xf>
    <xf numFmtId="49" fontId="0" fillId="20" borderId="72" xfId="0" applyNumberFormat="1" applyFill="1" applyBorder="1" applyAlignment="1">
      <alignment horizontal="center"/>
    </xf>
    <xf numFmtId="49" fontId="0" fillId="20" borderId="17" xfId="0" applyNumberFormat="1" applyFill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2" fillId="20" borderId="40" xfId="0" applyNumberFormat="1" applyFont="1" applyFill="1" applyBorder="1" applyAlignment="1">
      <alignment horizontal="center"/>
    </xf>
    <xf numFmtId="49" fontId="0" fillId="20" borderId="23" xfId="0" applyNumberFormat="1" applyFill="1" applyBorder="1" applyAlignment="1">
      <alignment horizontal="center" vertical="center"/>
    </xf>
    <xf numFmtId="1" fontId="0" fillId="0" borderId="51" xfId="0" applyNumberFormat="1" applyFont="1" applyBorder="1" applyAlignment="1">
      <alignment horizontal="center"/>
    </xf>
    <xf numFmtId="0" fontId="42" fillId="0" borderId="51" xfId="0" applyFont="1" applyBorder="1" applyAlignment="1">
      <alignment horizontal="center"/>
    </xf>
    <xf numFmtId="2" fontId="42" fillId="0" borderId="51" xfId="0" applyNumberFormat="1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2" fillId="20" borderId="71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5" fontId="0" fillId="0" borderId="66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54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right"/>
    </xf>
    <xf numFmtId="0" fontId="2" fillId="20" borderId="46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2" fillId="20" borderId="73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20" borderId="14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2" fillId="20" borderId="74" xfId="0" applyFont="1" applyFill="1" applyBorder="1" applyAlignment="1">
      <alignment horizontal="center"/>
    </xf>
    <xf numFmtId="0" fontId="2" fillId="20" borderId="48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26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0" borderId="75" xfId="0" applyFont="1" applyFill="1" applyBorder="1" applyAlignment="1">
      <alignment horizontal="center"/>
    </xf>
    <xf numFmtId="0" fontId="2" fillId="20" borderId="76" xfId="0" applyFont="1" applyFill="1" applyBorder="1" applyAlignment="1">
      <alignment horizontal="center"/>
    </xf>
    <xf numFmtId="0" fontId="2" fillId="20" borderId="43" xfId="0" applyFont="1" applyFill="1" applyBorder="1" applyAlignment="1">
      <alignment horizontal="center"/>
    </xf>
    <xf numFmtId="0" fontId="2" fillId="20" borderId="49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right"/>
    </xf>
    <xf numFmtId="0" fontId="2" fillId="20" borderId="15" xfId="0" applyFont="1" applyFill="1" applyBorder="1" applyAlignment="1">
      <alignment horizontal="right"/>
    </xf>
    <xf numFmtId="0" fontId="2" fillId="20" borderId="13" xfId="0" applyFont="1" applyFill="1" applyBorder="1" applyAlignment="1">
      <alignment horizontal="right"/>
    </xf>
    <xf numFmtId="0" fontId="2" fillId="20" borderId="56" xfId="0" applyFont="1" applyFill="1" applyBorder="1" applyAlignment="1">
      <alignment horizontal="center"/>
    </xf>
    <xf numFmtId="0" fontId="2" fillId="20" borderId="72" xfId="0" applyFont="1" applyFill="1" applyBorder="1" applyAlignment="1">
      <alignment horizontal="center"/>
    </xf>
    <xf numFmtId="0" fontId="2" fillId="20" borderId="71" xfId="0" applyFont="1" applyFill="1" applyBorder="1" applyAlignment="1">
      <alignment horizontal="center"/>
    </xf>
    <xf numFmtId="0" fontId="2" fillId="20" borderId="77" xfId="0" applyFont="1" applyFill="1" applyBorder="1" applyAlignment="1">
      <alignment horizontal="center"/>
    </xf>
    <xf numFmtId="0" fontId="2" fillId="20" borderId="7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0" borderId="53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6"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chartsheet" Target="chartsheets/sheet2.xml" /><Relationship Id="rId13" Type="http://schemas.openxmlformats.org/officeDocument/2006/relationships/chartsheet" Target="chartsheets/sheet3.xml" /><Relationship Id="rId14" Type="http://schemas.openxmlformats.org/officeDocument/2006/relationships/chartsheet" Target="chartsheets/sheet4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7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76"/>
          <c:w val="0.9697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'23в-1_ПО'!$V$27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'23в-1_ПО'!$C$3:$C$25</c:f>
              <c:strCache/>
            </c:strRef>
          </c:cat>
          <c:val>
            <c:numRef>
              <c:f>'23в-1_ПО'!$U$3:$U$25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9770111"/>
        <c:axId val="20822136"/>
      </c:barChart>
      <c:catAx>
        <c:axId val="9770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22136"/>
        <c:crosses val="autoZero"/>
        <c:auto val="1"/>
        <c:lblOffset val="100"/>
        <c:tickLblSkip val="1"/>
        <c:noMultiLvlLbl val="0"/>
      </c:catAx>
      <c:valAx>
        <c:axId val="20822136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70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Лучший средний балл уч-ся в каждой группе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925"/>
          <c:w val="0.98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Отчет!$C$39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Отчет!$D$40:$H$48</c:f>
              <c:multiLvlStrCache>
                <c:ptCount val="9"/>
                <c:lvl>
                  <c:pt idx="0">
                    <c:v>Вербицкий Максим</c:v>
                  </c:pt>
                  <c:pt idx="1">
                    <c:v>Конон Александр</c:v>
                  </c:pt>
                  <c:pt idx="2">
                    <c:v>Голец Владимир</c:v>
                  </c:pt>
                  <c:pt idx="3">
                    <c:v>Гончарёнок Евгений</c:v>
                  </c:pt>
                  <c:pt idx="4">
                    <c:v>Богдевич Игорь</c:v>
                  </c:pt>
                  <c:pt idx="5">
                    <c:v>Белов Иван</c:v>
                  </c:pt>
                  <c:pt idx="6">
                    <c:v>Бернацкий Алексей</c:v>
                  </c:pt>
                  <c:pt idx="7">
                    <c:v>Орловский Максим</c:v>
                  </c:pt>
                  <c:pt idx="8">
                    <c:v>Дашкевич Евгений</c:v>
                  </c:pt>
                </c:lvl>
                <c:lvl>
                  <c:pt idx="0">
                    <c:v>23в-1 ПО</c:v>
                  </c:pt>
                  <c:pt idx="1">
                    <c:v>44ппа САПР</c:v>
                  </c:pt>
                  <c:pt idx="2">
                    <c:v>24вк-1 ПО</c:v>
                  </c:pt>
                  <c:pt idx="3">
                    <c:v>46ппа-1 ИТ</c:v>
                  </c:pt>
                  <c:pt idx="4">
                    <c:v>44ппа-1 Прогр.</c:v>
                  </c:pt>
                  <c:pt idx="5">
                    <c:v>45пп-1 Прогр.</c:v>
                  </c:pt>
                  <c:pt idx="6">
                    <c:v>46ппа-1 Прогр.</c:v>
                  </c:pt>
                  <c:pt idx="7">
                    <c:v>209ту-1 СК ИТ</c:v>
                  </c:pt>
                  <c:pt idx="8">
                    <c:v>210тку-1 СК ИТ</c:v>
                  </c:pt>
                </c:lvl>
              </c:multiLvlStrCache>
            </c:multiLvlStrRef>
          </c:cat>
          <c:val>
            <c:numRef>
              <c:f>Отчет!$C$40:$C$48</c:f>
              <c:numCache>
                <c:ptCount val="9"/>
                <c:pt idx="0">
                  <c:v>8.875</c:v>
                </c:pt>
                <c:pt idx="1">
                  <c:v>9.5</c:v>
                </c:pt>
                <c:pt idx="2">
                  <c:v>9</c:v>
                </c:pt>
                <c:pt idx="3">
                  <c:v>8.625</c:v>
                </c:pt>
                <c:pt idx="4">
                  <c:v>8.5</c:v>
                </c:pt>
                <c:pt idx="5">
                  <c:v>9.125</c:v>
                </c:pt>
                <c:pt idx="6">
                  <c:v>7.777777777777778</c:v>
                </c:pt>
                <c:pt idx="7">
                  <c:v>9.428571428571429</c:v>
                </c:pt>
                <c:pt idx="8">
                  <c:v>8.714285714285714</c:v>
                </c:pt>
              </c:numCache>
            </c:numRef>
          </c:val>
        </c:ser>
        <c:axId val="32583305"/>
        <c:axId val="24814290"/>
      </c:barChart>
      <c:catAx>
        <c:axId val="32583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4290"/>
        <c:crosses val="autoZero"/>
        <c:auto val="1"/>
        <c:lblOffset val="100"/>
        <c:tickLblSkip val="1"/>
        <c:noMultiLvlLbl val="0"/>
      </c:catAx>
      <c:valAx>
        <c:axId val="2481429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83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Худший средний балл уч-ся по каждой группе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575"/>
          <c:w val="0.980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Отчет!$J$39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Отчет!$K$40:$P$48</c:f>
              <c:multiLvlStrCache>
                <c:ptCount val="9"/>
                <c:lvl>
                  <c:pt idx="0">
                    <c:v>Микишко Роман</c:v>
                  </c:pt>
                  <c:pt idx="1">
                    <c:v>Станкуть Кирилл</c:v>
                  </c:pt>
                  <c:pt idx="2">
                    <c:v>Валюк Максим</c:v>
                  </c:pt>
                  <c:pt idx="3">
                    <c:v>Карпович Дмитрий</c:v>
                  </c:pt>
                  <c:pt idx="4">
                    <c:v>Качура Максим</c:v>
                  </c:pt>
                  <c:pt idx="5">
                    <c:v>Ильченко Алеся</c:v>
                  </c:pt>
                  <c:pt idx="6">
                    <c:v>Карпович Дмитрий</c:v>
                  </c:pt>
                  <c:pt idx="7">
                    <c:v>Богдель Вадим</c:v>
                  </c:pt>
                  <c:pt idx="8">
                    <c:v>Блажевич Денис</c:v>
                  </c:pt>
                </c:lvl>
                <c:lvl>
                  <c:pt idx="0">
                    <c:v>23в-1 ПО</c:v>
                  </c:pt>
                  <c:pt idx="1">
                    <c:v>44ппа САПР</c:v>
                  </c:pt>
                  <c:pt idx="2">
                    <c:v>24вк-1 ПО</c:v>
                  </c:pt>
                  <c:pt idx="3">
                    <c:v>46ппа-1 ИТ</c:v>
                  </c:pt>
                  <c:pt idx="4">
                    <c:v>44ппа-1 Прогр.</c:v>
                  </c:pt>
                  <c:pt idx="5">
                    <c:v>45пп-1 Прогр.</c:v>
                  </c:pt>
                  <c:pt idx="6">
                    <c:v>46ппа-1 Прогр.</c:v>
                  </c:pt>
                  <c:pt idx="7">
                    <c:v>209ту-1 СК ИТ</c:v>
                  </c:pt>
                  <c:pt idx="8">
                    <c:v>210тку-1 СК ИТ</c:v>
                  </c:pt>
                </c:lvl>
              </c:multiLvlStrCache>
            </c:multiLvlStrRef>
          </c:cat>
          <c:val>
            <c:numRef>
              <c:f>Отчет!$J$40:$J$48</c:f>
              <c:numCache>
                <c:ptCount val="9"/>
                <c:pt idx="0">
                  <c:v>6.1</c:v>
                </c:pt>
                <c:pt idx="1">
                  <c:v>4.714285714285714</c:v>
                </c:pt>
                <c:pt idx="2">
                  <c:v>3.5</c:v>
                </c:pt>
                <c:pt idx="3">
                  <c:v>3.909090909090909</c:v>
                </c:pt>
                <c:pt idx="4">
                  <c:v>5.444444444444445</c:v>
                </c:pt>
                <c:pt idx="5">
                  <c:v>3.5</c:v>
                </c:pt>
                <c:pt idx="6">
                  <c:v>3.6153846153846154</c:v>
                </c:pt>
                <c:pt idx="7">
                  <c:v>5.25</c:v>
                </c:pt>
                <c:pt idx="8">
                  <c:v>1.5</c:v>
                </c:pt>
              </c:numCache>
            </c:numRef>
          </c:val>
        </c:ser>
        <c:axId val="22002019"/>
        <c:axId val="63800444"/>
      </c:barChart>
      <c:catAx>
        <c:axId val="22002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00444"/>
        <c:crosses val="autoZero"/>
        <c:auto val="1"/>
        <c:lblOffset val="100"/>
        <c:tickLblSkip val="1"/>
        <c:noMultiLvlLbl val="0"/>
      </c:catAx>
      <c:valAx>
        <c:axId val="6380044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02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 за семестр.</a:t>
            </a:r>
          </a:p>
        </c:rich>
      </c:tx>
      <c:layout>
        <c:manualLayout>
          <c:xMode val="factor"/>
          <c:yMode val="factor"/>
          <c:x val="-0.00675"/>
          <c:y val="-0.00175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0865"/>
          <c:w val="0.98875"/>
          <c:h val="0.88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(Отчет!$A$14,Отчет!$A$17,Отчет!$A$20,Отчет!$A$22,Отчет!$A$24,Отчет!$A$26,Отчет!$A$28,Отчет!$A$30,Отчет!$A$32)</c:f>
              <c:strCache>
                <c:ptCount val="9"/>
                <c:pt idx="0">
                  <c:v>23в-1 ПО</c:v>
                </c:pt>
                <c:pt idx="1">
                  <c:v>24вк-1 ПО</c:v>
                </c:pt>
                <c:pt idx="2">
                  <c:v>44ппа САПР</c:v>
                </c:pt>
                <c:pt idx="3">
                  <c:v>46ппа-1 ИТ</c:v>
                </c:pt>
                <c:pt idx="4">
                  <c:v>44ппа-1 Прогр.</c:v>
                </c:pt>
                <c:pt idx="5">
                  <c:v>45пп-1 Прогр.</c:v>
                </c:pt>
                <c:pt idx="6">
                  <c:v>46ппа-1 Прогр.</c:v>
                </c:pt>
                <c:pt idx="7">
                  <c:v>209ту-1 СК ИТ</c:v>
                </c:pt>
                <c:pt idx="8">
                  <c:v>210тку-1 СК ИТ</c:v>
                </c:pt>
              </c:strCache>
            </c:strRef>
          </c:cat>
          <c:val>
            <c:numRef>
              <c:f>(Отчет!$O$16,Отчет!$O$19,Отчет!$O$21,Отчет!$O$23,Отчет!$O$25,Отчет!$O$27,Отчет!$O$29,Отчет!$O$31,Отчет!$O$33)</c:f>
              <c:numCache>
                <c:ptCount val="9"/>
                <c:pt idx="0">
                  <c:v>8.217391304347826</c:v>
                </c:pt>
                <c:pt idx="1">
                  <c:v>6.28</c:v>
                </c:pt>
                <c:pt idx="2">
                  <c:v>8.5</c:v>
                </c:pt>
                <c:pt idx="3">
                  <c:v>7.153846153846154</c:v>
                </c:pt>
                <c:pt idx="4">
                  <c:v>6.769230769230769</c:v>
                </c:pt>
                <c:pt idx="5">
                  <c:v>5.4</c:v>
                </c:pt>
                <c:pt idx="6">
                  <c:v>5.384615384615385</c:v>
                </c:pt>
                <c:pt idx="7">
                  <c:v>7.636363636363637</c:v>
                </c:pt>
                <c:pt idx="8">
                  <c:v>5.1</c:v>
                </c:pt>
              </c:numCache>
            </c:numRef>
          </c:val>
          <c:shape val="box"/>
        </c:ser>
        <c:shape val="box"/>
        <c:axId val="37333085"/>
        <c:axId val="453446"/>
      </c:bar3DChart>
      <c:catAx>
        <c:axId val="37333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3446"/>
        <c:crosses val="autoZero"/>
        <c:auto val="1"/>
        <c:lblOffset val="100"/>
        <c:tickLblSkip val="1"/>
        <c:noMultiLvlLbl val="0"/>
      </c:catAx>
      <c:valAx>
        <c:axId val="453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330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2"/>
          <c:w val="0.98025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(Отчет!$A$14,Отчет!$A$17,Отчет!$A$20,Отчет!$A$22,Отчет!$A$24,Отчет!$A$26,Отчет!$A$28,Отчет!$A$30,Отчет!$A$32)</c:f>
              <c:strCache>
                <c:ptCount val="9"/>
                <c:pt idx="0">
                  <c:v>23в-1 ПО</c:v>
                </c:pt>
                <c:pt idx="1">
                  <c:v>24вк-1 ПО</c:v>
                </c:pt>
                <c:pt idx="2">
                  <c:v>44ппа САПР</c:v>
                </c:pt>
                <c:pt idx="3">
                  <c:v>46ппа-1 ИТ</c:v>
                </c:pt>
                <c:pt idx="4">
                  <c:v>44ппа-1 Прогр.</c:v>
                </c:pt>
                <c:pt idx="5">
                  <c:v>45пп-1 Прогр.</c:v>
                </c:pt>
                <c:pt idx="6">
                  <c:v>46ппа-1 Прогр.</c:v>
                </c:pt>
                <c:pt idx="7">
                  <c:v>209ту-1 СК ИТ</c:v>
                </c:pt>
                <c:pt idx="8">
                  <c:v>210тку-1 СК ИТ</c:v>
                </c:pt>
              </c:strCache>
            </c:strRef>
          </c:cat>
          <c:val>
            <c:numRef>
              <c:f>(Отчет!$Q$16,Отчет!$Q$19,Отчет!$Q$21,Отчет!$Q$23,Отчет!$Q$25,Отчет!$Q$27,Отчет!$Q$29,Отчет!$Q$31,Отчет!$Q$33)</c:f>
              <c:numCache>
                <c:ptCount val="9"/>
                <c:pt idx="0">
                  <c:v>0.9130434782608695</c:v>
                </c:pt>
                <c:pt idx="1">
                  <c:v>0.4</c:v>
                </c:pt>
                <c:pt idx="2">
                  <c:v>0.9230769230769231</c:v>
                </c:pt>
                <c:pt idx="3">
                  <c:v>0.7692307692307693</c:v>
                </c:pt>
                <c:pt idx="4">
                  <c:v>0.5384615384615384</c:v>
                </c:pt>
                <c:pt idx="5">
                  <c:v>0.1</c:v>
                </c:pt>
                <c:pt idx="6">
                  <c:v>0.23076923076923078</c:v>
                </c:pt>
                <c:pt idx="7">
                  <c:v>0.7272727272727273</c:v>
                </c:pt>
                <c:pt idx="8">
                  <c:v>0.4</c:v>
                </c:pt>
              </c:numCache>
            </c:numRef>
          </c:val>
          <c:shape val="box"/>
        </c:ser>
        <c:shape val="box"/>
        <c:axId val="4081015"/>
        <c:axId val="36729136"/>
      </c:bar3DChart>
      <c:catAx>
        <c:axId val="408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729136"/>
        <c:crosses val="autoZero"/>
        <c:auto val="1"/>
        <c:lblOffset val="100"/>
        <c:tickLblSkip val="1"/>
        <c:noMultiLvlLbl val="0"/>
      </c:catAx>
      <c:valAx>
        <c:axId val="36729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10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375"/>
          <c:w val="0.98025"/>
          <c:h val="0.87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Отчет!$C$12:$N$12</c:f>
              <c:strCache>
                <c:ptCount val="1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Неатест.</c:v>
                </c:pt>
              </c:strCache>
            </c:strRef>
          </c:cat>
          <c:val>
            <c:numRef>
              <c:f>Отчет!$C$34:$N$34</c:f>
              <c:numCache>
                <c:ptCount val="12"/>
                <c:pt idx="0">
                  <c:v>10</c:v>
                </c:pt>
                <c:pt idx="1">
                  <c:v>35</c:v>
                </c:pt>
                <c:pt idx="2">
                  <c:v>23</c:v>
                </c:pt>
                <c:pt idx="3">
                  <c:v>20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62126769"/>
        <c:axId val="22270010"/>
      </c:bar3DChart>
      <c:catAx>
        <c:axId val="6212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270010"/>
        <c:crosses val="autoZero"/>
        <c:auto val="1"/>
        <c:lblOffset val="100"/>
        <c:tickLblSkip val="1"/>
        <c:noMultiLvlLbl val="0"/>
      </c:catAx>
      <c:valAx>
        <c:axId val="22270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267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успеваемости за семестр.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5"/>
          <c:y val="0.2615"/>
          <c:w val="0.6095"/>
          <c:h val="0.3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Отчет!$A$38:$A$42</c:f>
              <c:strCache>
                <c:ptCount val="5"/>
                <c:pt idx="0">
                  <c:v>Отлично (9-10)</c:v>
                </c:pt>
                <c:pt idx="1">
                  <c:v>Хорошо (7-8)</c:v>
                </c:pt>
                <c:pt idx="2">
                  <c:v>Удовл. (4-6)</c:v>
                </c:pt>
                <c:pt idx="3">
                  <c:v>Неудовл. (0-3)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Отчет!$B$38:$B$42</c:f>
              <c:numCache>
                <c:ptCount val="5"/>
                <c:pt idx="0">
                  <c:v>45</c:v>
                </c:pt>
                <c:pt idx="1">
                  <c:v>43</c:v>
                </c:pt>
                <c:pt idx="2">
                  <c:v>54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425"/>
          <c:y val="0.15075"/>
          <c:w val="0.97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Среднее_по_семестрам!$A$45:$A$60</c:f>
              <c:strCache/>
            </c:strRef>
          </c:cat>
          <c:val>
            <c:numRef>
              <c:f>Среднее_по_семестрам!$B$45:$B$60</c:f>
              <c:numCache/>
            </c:numRef>
          </c:val>
        </c:ser>
        <c:axId val="66212363"/>
        <c:axId val="59040356"/>
      </c:barChart>
      <c:catAx>
        <c:axId val="66212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40356"/>
        <c:crosses val="autoZero"/>
        <c:auto val="1"/>
        <c:lblOffset val="100"/>
        <c:tickLblSkip val="1"/>
        <c:noMultiLvlLbl val="0"/>
      </c:catAx>
      <c:valAx>
        <c:axId val="59040356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2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125"/>
          <c:y val="0.095"/>
          <c:w val="0.988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Среднее_по_семестрам!$C$44</c:f>
              <c:strCache>
                <c:ptCount val="1"/>
                <c:pt idx="0">
                  <c:v>Кач.усп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Среднее_по_семестрам!$A$45:$A$60</c:f>
              <c:strCache/>
            </c:strRef>
          </c:cat>
          <c:val>
            <c:numRef>
              <c:f>Среднее_по_семестрам!$C$45:$C$60</c:f>
              <c:numCache/>
            </c:numRef>
          </c:val>
        </c:ser>
        <c:axId val="61601157"/>
        <c:axId val="17539502"/>
      </c:barChart>
      <c:catAx>
        <c:axId val="6160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39502"/>
        <c:crosses val="autoZero"/>
        <c:auto val="1"/>
        <c:lblOffset val="100"/>
        <c:tickLblSkip val="1"/>
        <c:noMultiLvlLbl val="0"/>
      </c:catAx>
      <c:valAx>
        <c:axId val="17539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01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7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76"/>
          <c:w val="0.972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'24вк-1_ПО'!$Z$29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'24вк-1_ПО'!$C$3:$C$27</c:f>
              <c:strCache/>
            </c:strRef>
          </c:cat>
          <c:val>
            <c:numRef>
              <c:f>'24вк-1_ПО'!$Y$3:$Y$27</c:f>
              <c:numCache/>
            </c:numRef>
          </c:val>
        </c:ser>
        <c:axId val="53181497"/>
        <c:axId val="8871426"/>
      </c:barChart>
      <c:catAx>
        <c:axId val="53181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71426"/>
        <c:crosses val="autoZero"/>
        <c:auto val="1"/>
        <c:lblOffset val="100"/>
        <c:tickLblSkip val="1"/>
        <c:noMultiLvlLbl val="0"/>
      </c:catAx>
      <c:valAx>
        <c:axId val="887142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81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5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77"/>
          <c:w val="0.9752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'44ппа-1_Прогр'!$V$17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'44ппа-1_Прогр'!$C$3:$C$15</c:f>
              <c:strCache/>
            </c:strRef>
          </c:cat>
          <c:val>
            <c:numRef>
              <c:f>'44ппа-1_Прогр'!$U$3:$U$15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2733971"/>
        <c:axId val="47496876"/>
      </c:barChart>
      <c:catAx>
        <c:axId val="1273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96876"/>
        <c:crosses val="autoZero"/>
        <c:auto val="1"/>
        <c:lblOffset val="100"/>
        <c:tickLblSkip val="1"/>
        <c:noMultiLvlLbl val="0"/>
      </c:catAx>
      <c:valAx>
        <c:axId val="4749687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733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7125"/>
          <c:w val="0.9762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'44ппа_САПР'!$O$31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('44ппа_САПР'!$C$3:$C$15,'44ппа_САПР'!$C$17:$C$29)</c:f>
              <c:strCache/>
            </c:strRef>
          </c:cat>
          <c:val>
            <c:numRef>
              <c:f>('44ппа_САПР'!$N$3:$N$15,'44ппа_САПР'!$N$17:$N$29)</c:f>
              <c:numCache/>
            </c:numRef>
          </c:val>
        </c:ser>
        <c:axId val="24818701"/>
        <c:axId val="22041718"/>
      </c:barChart>
      <c:catAx>
        <c:axId val="24818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41718"/>
        <c:crosses val="autoZero"/>
        <c:auto val="1"/>
        <c:lblOffset val="100"/>
        <c:tickLblSkip val="1"/>
        <c:noMultiLvlLbl val="0"/>
      </c:catAx>
      <c:valAx>
        <c:axId val="2204171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18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5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77"/>
          <c:w val="0.973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'45пп-1_Прогр'!$V$14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'45пп-1_Прогр'!$C$3:$C$12</c:f>
              <c:strCache/>
            </c:strRef>
          </c:cat>
          <c:val>
            <c:numRef>
              <c:f>'45пп-1_Прогр'!$U$3:$U$12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4157735"/>
        <c:axId val="40548704"/>
      </c:barChart>
      <c:catAx>
        <c:axId val="6415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48704"/>
        <c:crosses val="autoZero"/>
        <c:auto val="1"/>
        <c:lblOffset val="100"/>
        <c:tickLblSkip val="1"/>
        <c:noMultiLvlLbl val="0"/>
      </c:catAx>
      <c:valAx>
        <c:axId val="4054870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57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5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7"/>
          <c:w val="0.972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'46ппа-1_Прогр'!$T$17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'46ппа-1_Прогр'!$C$3:$C$15</c:f>
              <c:strCache/>
            </c:strRef>
          </c:cat>
          <c:val>
            <c:numRef>
              <c:f>'46ппа-1_Прогр'!$S$3:$S$15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9394017"/>
        <c:axId val="63219562"/>
      </c:barChart>
      <c:catAx>
        <c:axId val="29394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19562"/>
        <c:crosses val="autoZero"/>
        <c:auto val="1"/>
        <c:lblOffset val="100"/>
        <c:tickLblSkip val="1"/>
        <c:noMultiLvlLbl val="0"/>
      </c:catAx>
      <c:valAx>
        <c:axId val="6321956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94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715"/>
          <c:w val="0.9845"/>
          <c:h val="0.90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'46ппа-1_ИТ'!$V$17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('46ппа-1_ИТ'!$C$3:$C$14,'46ппа-1_ИТ'!$C$15:$C$15)</c:f>
              <c:strCache/>
            </c:strRef>
          </c:cat>
          <c:val>
            <c:numRef>
              <c:f>('46ппа-1_ИТ'!$U$3:$U$14,'46ппа-1_ИТ'!$U$15:$U$15)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2105147"/>
        <c:axId val="20510868"/>
      </c:barChart>
      <c:catAx>
        <c:axId val="32105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10868"/>
        <c:crosses val="autoZero"/>
        <c:auto val="1"/>
        <c:lblOffset val="100"/>
        <c:tickLblSkip val="1"/>
        <c:noMultiLvlLbl val="0"/>
      </c:catAx>
      <c:valAx>
        <c:axId val="2051086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05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9"/>
          <c:w val="0.9782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'209ту-1_СК_ИТ'!$Q$15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'209ту-1_СК_ИТ'!$C$3:$C$13</c:f>
              <c:strCache/>
            </c:strRef>
          </c:cat>
          <c:val>
            <c:numRef>
              <c:f>'209ту-1_СК_ИТ'!$P$3:$P$13</c:f>
              <c:numCache/>
            </c:numRef>
          </c:val>
        </c:ser>
        <c:axId val="50380085"/>
        <c:axId val="50767582"/>
      </c:barChart>
      <c:catAx>
        <c:axId val="50380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67582"/>
        <c:crosses val="autoZero"/>
        <c:auto val="1"/>
        <c:lblOffset val="100"/>
        <c:tickLblSkip val="1"/>
        <c:noMultiLvlLbl val="0"/>
      </c:catAx>
      <c:valAx>
        <c:axId val="5076758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80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9"/>
          <c:w val="0.9792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'210тку-1_СК_ИТ'!$S$14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'210тку-1_СК_ИТ'!$C$3:$C$12</c:f>
              <c:strCache/>
            </c:strRef>
          </c:cat>
          <c:val>
            <c:numRef>
              <c:f>'210тку-1_СК_ИТ'!$R$3:$R$12</c:f>
              <c:numCache/>
            </c:numRef>
          </c:val>
        </c:ser>
        <c:axId val="54255055"/>
        <c:axId val="18533448"/>
      </c:barChart>
      <c:catAx>
        <c:axId val="54255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33448"/>
        <c:crosses val="autoZero"/>
        <c:auto val="1"/>
        <c:lblOffset val="100"/>
        <c:tickLblSkip val="1"/>
        <c:noMultiLvlLbl val="0"/>
      </c:catAx>
      <c:valAx>
        <c:axId val="1853344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55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1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2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3"/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14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5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16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57150</xdr:rowOff>
    </xdr:from>
    <xdr:to>
      <xdr:col>20</xdr:col>
      <xdr:colOff>0</xdr:colOff>
      <xdr:row>61</xdr:row>
      <xdr:rowOff>47625</xdr:rowOff>
    </xdr:to>
    <xdr:graphicFrame>
      <xdr:nvGraphicFramePr>
        <xdr:cNvPr id="1" name="Chart 1"/>
        <xdr:cNvGraphicFramePr/>
      </xdr:nvGraphicFramePr>
      <xdr:xfrm>
        <a:off x="276225" y="5143500"/>
        <a:ext cx="91059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16</xdr:col>
      <xdr:colOff>666750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575" y="171450"/>
        <a:ext cx="11811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142875</xdr:rowOff>
    </xdr:from>
    <xdr:to>
      <xdr:col>16</xdr:col>
      <xdr:colOff>666750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28575" y="3705225"/>
        <a:ext cx="118110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33</xdr:row>
      <xdr:rowOff>123825</xdr:rowOff>
    </xdr:from>
    <xdr:to>
      <xdr:col>20</xdr:col>
      <xdr:colOff>9525</xdr:colOff>
      <xdr:row>63</xdr:row>
      <xdr:rowOff>114300</xdr:rowOff>
    </xdr:to>
    <xdr:graphicFrame>
      <xdr:nvGraphicFramePr>
        <xdr:cNvPr id="1" name="Chart 1"/>
        <xdr:cNvGraphicFramePr/>
      </xdr:nvGraphicFramePr>
      <xdr:xfrm>
        <a:off x="285750" y="5543550"/>
        <a:ext cx="95916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20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0" y="3476625"/>
        <a:ext cx="94964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152400</xdr:rowOff>
    </xdr:from>
    <xdr:to>
      <xdr:col>14</xdr:col>
      <xdr:colOff>676275</xdr:colOff>
      <xdr:row>63</xdr:row>
      <xdr:rowOff>95250</xdr:rowOff>
    </xdr:to>
    <xdr:graphicFrame>
      <xdr:nvGraphicFramePr>
        <xdr:cNvPr id="1" name="Chart 1"/>
        <xdr:cNvGraphicFramePr/>
      </xdr:nvGraphicFramePr>
      <xdr:xfrm>
        <a:off x="0" y="5953125"/>
        <a:ext cx="82200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20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3000375"/>
        <a:ext cx="8934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18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0" y="3486150"/>
        <a:ext cx="85058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23</xdr:col>
      <xdr:colOff>647700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0" y="3648075"/>
        <a:ext cx="122396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47625</xdr:rowOff>
    </xdr:from>
    <xdr:to>
      <xdr:col>16</xdr:col>
      <xdr:colOff>904875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228600" y="3200400"/>
        <a:ext cx="86106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47625</xdr:rowOff>
    </xdr:from>
    <xdr:to>
      <xdr:col>18</xdr:col>
      <xdr:colOff>904875</xdr:colOff>
      <xdr:row>51</xdr:row>
      <xdr:rowOff>123825</xdr:rowOff>
    </xdr:to>
    <xdr:graphicFrame>
      <xdr:nvGraphicFramePr>
        <xdr:cNvPr id="1" name="Chart 1"/>
        <xdr:cNvGraphicFramePr/>
      </xdr:nvGraphicFramePr>
      <xdr:xfrm>
        <a:off x="228600" y="3038475"/>
        <a:ext cx="91059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zoomScale="87" zoomScaleNormal="87" zoomScalePageLayoutView="0" workbookViewId="0" topLeftCell="B1">
      <selection activeCell="Y32" sqref="Y32"/>
    </sheetView>
  </sheetViews>
  <sheetFormatPr defaultColWidth="9.00390625" defaultRowHeight="12.75"/>
  <cols>
    <col min="1" max="1" width="8.875" style="0" hidden="1" customWidth="1"/>
    <col min="2" max="2" width="3.375" style="0" bestFit="1" customWidth="1"/>
    <col min="3" max="3" width="21.875" style="0" customWidth="1"/>
    <col min="4" max="4" width="8.875" style="0" customWidth="1"/>
    <col min="5" max="5" width="5.25390625" style="0" customWidth="1"/>
    <col min="6" max="6" width="5.00390625" style="0" customWidth="1"/>
    <col min="7" max="8" width="4.75390625" style="0" customWidth="1"/>
    <col min="9" max="9" width="5.00390625" style="0" customWidth="1"/>
    <col min="10" max="10" width="4.875" style="0" customWidth="1"/>
    <col min="11" max="11" width="5.00390625" style="0" customWidth="1"/>
    <col min="12" max="15" width="5.875" style="0" customWidth="1"/>
    <col min="16" max="16" width="6.00390625" style="0" customWidth="1"/>
    <col min="17" max="17" width="5.75390625" style="0" customWidth="1"/>
    <col min="18" max="18" width="6.125" style="0" customWidth="1"/>
    <col min="19" max="19" width="6.375" style="0" customWidth="1"/>
    <col min="20" max="20" width="6.625" style="14" customWidth="1"/>
    <col min="21" max="21" width="9.125" style="3" customWidth="1"/>
    <col min="22" max="22" width="9.125" style="10" customWidth="1"/>
  </cols>
  <sheetData>
    <row r="1" spans="3:24" ht="13.5" thickBot="1">
      <c r="C1" s="231" t="s">
        <v>87</v>
      </c>
      <c r="D1" s="231"/>
      <c r="E1" s="231"/>
      <c r="F1" s="231"/>
      <c r="G1" s="231"/>
      <c r="H1" s="231"/>
      <c r="I1" s="231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  <c r="U1"/>
      <c r="V1"/>
      <c r="W1" s="14"/>
      <c r="X1" s="15"/>
    </row>
    <row r="2" spans="2:25" ht="16.5" customHeight="1" thickBot="1">
      <c r="B2" s="58" t="s">
        <v>73</v>
      </c>
      <c r="C2" s="55" t="s">
        <v>26</v>
      </c>
      <c r="D2" s="56" t="s">
        <v>74</v>
      </c>
      <c r="E2" s="81">
        <v>42025</v>
      </c>
      <c r="F2" s="82">
        <v>42027</v>
      </c>
      <c r="G2" s="81">
        <v>42034</v>
      </c>
      <c r="H2" s="127">
        <v>42039</v>
      </c>
      <c r="I2" s="82">
        <v>42041</v>
      </c>
      <c r="J2" s="81">
        <v>42048</v>
      </c>
      <c r="K2" s="82">
        <v>42053</v>
      </c>
      <c r="L2" s="81">
        <v>42060</v>
      </c>
      <c r="M2" s="82">
        <v>42062</v>
      </c>
      <c r="N2" s="81">
        <v>42067</v>
      </c>
      <c r="O2" s="82">
        <v>42069</v>
      </c>
      <c r="P2" s="81">
        <v>42081</v>
      </c>
      <c r="Q2" s="82">
        <v>42083</v>
      </c>
      <c r="R2" s="81">
        <v>42095</v>
      </c>
      <c r="S2" s="82">
        <v>42097</v>
      </c>
      <c r="T2" s="91">
        <v>42118</v>
      </c>
      <c r="U2" s="59" t="s">
        <v>24</v>
      </c>
      <c r="V2" s="60" t="s">
        <v>178</v>
      </c>
      <c r="W2" s="60" t="s">
        <v>21</v>
      </c>
      <c r="X2" s="60" t="s">
        <v>202</v>
      </c>
      <c r="Y2" s="60" t="s">
        <v>204</v>
      </c>
    </row>
    <row r="3" spans="1:28" ht="12.75">
      <c r="A3" s="3">
        <f aca="true" t="shared" si="0" ref="A3:A25">U3</f>
        <v>7.625</v>
      </c>
      <c r="B3" s="37">
        <v>1</v>
      </c>
      <c r="C3" s="37" t="s">
        <v>88</v>
      </c>
      <c r="D3" s="71">
        <v>1</v>
      </c>
      <c r="E3" s="83"/>
      <c r="F3" s="98">
        <v>5</v>
      </c>
      <c r="G3" s="88"/>
      <c r="H3" s="109"/>
      <c r="I3" s="98">
        <v>6</v>
      </c>
      <c r="J3" s="83"/>
      <c r="K3" s="98">
        <v>7</v>
      </c>
      <c r="L3" s="83" t="s">
        <v>206</v>
      </c>
      <c r="M3" s="98">
        <v>8</v>
      </c>
      <c r="N3" s="83"/>
      <c r="O3" s="98">
        <v>8</v>
      </c>
      <c r="P3" s="83"/>
      <c r="Q3" s="98">
        <v>9</v>
      </c>
      <c r="R3" s="83"/>
      <c r="S3" s="98">
        <v>8</v>
      </c>
      <c r="T3" s="100">
        <v>10</v>
      </c>
      <c r="U3" s="95">
        <f aca="true" t="shared" si="1" ref="U3:U13">AVERAGE(E3:T3)</f>
        <v>7.625</v>
      </c>
      <c r="V3" s="36">
        <f aca="true" t="shared" si="2" ref="V3:V10">ROUND(U3,0)</f>
        <v>8</v>
      </c>
      <c r="W3" s="36">
        <v>7</v>
      </c>
      <c r="X3" s="8">
        <v>9</v>
      </c>
      <c r="Y3" s="214">
        <f>AVERAGE(W3:X3)</f>
        <v>8</v>
      </c>
      <c r="Z3" s="20" t="s">
        <v>30</v>
      </c>
      <c r="AA3" s="1">
        <f>COUNTIF(V3:V25,"&gt;8")</f>
        <v>12</v>
      </c>
      <c r="AB3" s="47">
        <f>AA3/$B$25</f>
        <v>0.5217391304347826</v>
      </c>
    </row>
    <row r="4" spans="1:28" ht="12.75">
      <c r="A4" s="3">
        <f t="shared" si="0"/>
        <v>8.777777777777779</v>
      </c>
      <c r="B4" s="37">
        <v>2</v>
      </c>
      <c r="C4" s="37" t="s">
        <v>89</v>
      </c>
      <c r="D4" s="71">
        <v>2</v>
      </c>
      <c r="E4" s="83"/>
      <c r="F4" s="84">
        <v>9</v>
      </c>
      <c r="G4" s="88"/>
      <c r="H4" s="109"/>
      <c r="I4" s="84">
        <v>8</v>
      </c>
      <c r="J4" s="88"/>
      <c r="K4" s="98">
        <v>9</v>
      </c>
      <c r="L4" s="83"/>
      <c r="M4" s="98">
        <v>7</v>
      </c>
      <c r="N4" s="83" t="s">
        <v>206</v>
      </c>
      <c r="O4" s="98">
        <v>9</v>
      </c>
      <c r="P4" s="85">
        <v>9</v>
      </c>
      <c r="Q4" s="98">
        <v>9</v>
      </c>
      <c r="R4" s="83"/>
      <c r="S4" s="98">
        <v>9</v>
      </c>
      <c r="T4" s="100">
        <v>10</v>
      </c>
      <c r="U4" s="95">
        <f t="shared" si="1"/>
        <v>8.777777777777779</v>
      </c>
      <c r="V4" s="36">
        <f t="shared" si="2"/>
        <v>9</v>
      </c>
      <c r="W4" s="36">
        <v>7</v>
      </c>
      <c r="X4" s="8">
        <v>9</v>
      </c>
      <c r="Y4" s="214">
        <f aca="true" t="shared" si="3" ref="Y4:Y25">AVERAGE(W4:X4)</f>
        <v>8</v>
      </c>
      <c r="Z4" s="20" t="s">
        <v>31</v>
      </c>
      <c r="AA4" s="48">
        <f>COUNTIF(V3:V25,7)+COUNTIF(V3:V25,8)</f>
        <v>7</v>
      </c>
      <c r="AB4" s="47">
        <f>AA4/$B$25</f>
        <v>0.30434782608695654</v>
      </c>
    </row>
    <row r="5" spans="1:28" ht="12.75">
      <c r="A5" s="3">
        <f t="shared" si="0"/>
        <v>8.75</v>
      </c>
      <c r="B5" s="37">
        <v>3</v>
      </c>
      <c r="C5" s="37" t="s">
        <v>90</v>
      </c>
      <c r="D5" s="71">
        <v>3</v>
      </c>
      <c r="E5" s="87"/>
      <c r="F5" s="86">
        <v>8</v>
      </c>
      <c r="G5" s="87"/>
      <c r="H5" s="111"/>
      <c r="I5" s="86">
        <v>9</v>
      </c>
      <c r="J5" s="87"/>
      <c r="K5" s="99">
        <v>10</v>
      </c>
      <c r="L5" s="85"/>
      <c r="M5" s="99">
        <v>9</v>
      </c>
      <c r="N5" s="85"/>
      <c r="O5" s="99">
        <v>7</v>
      </c>
      <c r="P5" s="85"/>
      <c r="Q5" s="99">
        <v>8</v>
      </c>
      <c r="R5" s="85" t="s">
        <v>206</v>
      </c>
      <c r="S5" s="99">
        <v>9</v>
      </c>
      <c r="T5" s="101">
        <v>10</v>
      </c>
      <c r="U5" s="95">
        <f t="shared" si="1"/>
        <v>8.75</v>
      </c>
      <c r="V5" s="36">
        <f t="shared" si="2"/>
        <v>9</v>
      </c>
      <c r="W5" s="36">
        <v>8</v>
      </c>
      <c r="X5" s="8">
        <v>8</v>
      </c>
      <c r="Y5" s="214">
        <f t="shared" si="3"/>
        <v>8</v>
      </c>
      <c r="Z5" s="20" t="s">
        <v>32</v>
      </c>
      <c r="AA5" s="48">
        <f>COUNTIF(V3:V25,4)+COUNTIF(V3:V25,5)+COUNTIF(V3:V25,6)</f>
        <v>4</v>
      </c>
      <c r="AB5" s="47">
        <f>AA5/$B$25</f>
        <v>0.17391304347826086</v>
      </c>
    </row>
    <row r="6" spans="1:28" ht="12.75">
      <c r="A6" s="3">
        <f t="shared" si="0"/>
        <v>8.875</v>
      </c>
      <c r="B6" s="37">
        <v>4</v>
      </c>
      <c r="C6" s="2" t="s">
        <v>91</v>
      </c>
      <c r="D6" s="72">
        <v>4</v>
      </c>
      <c r="E6" s="85"/>
      <c r="F6" s="86">
        <v>6</v>
      </c>
      <c r="G6" s="87"/>
      <c r="H6" s="111"/>
      <c r="I6" s="86">
        <v>9</v>
      </c>
      <c r="J6" s="87"/>
      <c r="K6" s="99">
        <v>10</v>
      </c>
      <c r="L6" s="85"/>
      <c r="M6" s="99">
        <v>10</v>
      </c>
      <c r="N6" s="85"/>
      <c r="O6" s="99">
        <v>9</v>
      </c>
      <c r="P6" s="85"/>
      <c r="Q6" s="99">
        <v>7</v>
      </c>
      <c r="R6" s="85"/>
      <c r="S6" s="99">
        <v>10</v>
      </c>
      <c r="T6" s="101">
        <v>10</v>
      </c>
      <c r="U6" s="95">
        <f t="shared" si="1"/>
        <v>8.875</v>
      </c>
      <c r="V6" s="36">
        <f t="shared" si="2"/>
        <v>9</v>
      </c>
      <c r="W6" s="36">
        <v>8</v>
      </c>
      <c r="X6" s="8">
        <v>9</v>
      </c>
      <c r="Y6" s="214">
        <f t="shared" si="3"/>
        <v>8.5</v>
      </c>
      <c r="Z6" s="20" t="s">
        <v>33</v>
      </c>
      <c r="AA6" s="1">
        <f>COUNTIF(V3:V25,"&lt;4")</f>
        <v>0</v>
      </c>
      <c r="AB6" s="47">
        <f>AA6/$B$25</f>
        <v>0</v>
      </c>
    </row>
    <row r="7" spans="1:28" ht="12.75">
      <c r="A7" s="3">
        <f t="shared" si="0"/>
        <v>6.25</v>
      </c>
      <c r="B7" s="37">
        <v>5</v>
      </c>
      <c r="C7" s="37" t="s">
        <v>92</v>
      </c>
      <c r="D7" s="71">
        <v>5</v>
      </c>
      <c r="E7" s="83"/>
      <c r="F7" s="98">
        <v>8</v>
      </c>
      <c r="G7" s="88"/>
      <c r="H7" s="109"/>
      <c r="I7" s="98">
        <v>5</v>
      </c>
      <c r="J7" s="88" t="s">
        <v>206</v>
      </c>
      <c r="K7" s="98">
        <v>8</v>
      </c>
      <c r="L7" s="83"/>
      <c r="M7" s="98">
        <v>4</v>
      </c>
      <c r="N7" s="83"/>
      <c r="O7" s="98">
        <v>4</v>
      </c>
      <c r="P7" s="85"/>
      <c r="Q7" s="98">
        <v>8</v>
      </c>
      <c r="R7" s="83"/>
      <c r="S7" s="98">
        <v>9</v>
      </c>
      <c r="T7" s="100">
        <v>4</v>
      </c>
      <c r="U7" s="95">
        <f t="shared" si="1"/>
        <v>6.25</v>
      </c>
      <c r="V7" s="36">
        <v>7</v>
      </c>
      <c r="W7" s="36">
        <v>5</v>
      </c>
      <c r="X7" s="8">
        <v>7</v>
      </c>
      <c r="Y7" s="214">
        <f t="shared" si="3"/>
        <v>6</v>
      </c>
      <c r="Z7" s="155" t="s">
        <v>34</v>
      </c>
      <c r="AA7" s="1">
        <f>B25-SUM(AA3:AA6)</f>
        <v>0</v>
      </c>
      <c r="AB7" s="47">
        <f>AA7/$B$25</f>
        <v>0</v>
      </c>
    </row>
    <row r="8" spans="1:25" ht="12.75">
      <c r="A8" s="3">
        <f t="shared" si="0"/>
        <v>8.555555555555555</v>
      </c>
      <c r="B8" s="37">
        <v>6</v>
      </c>
      <c r="C8" s="2" t="s">
        <v>93</v>
      </c>
      <c r="D8" s="72">
        <v>6</v>
      </c>
      <c r="E8" s="85"/>
      <c r="F8" s="99">
        <v>7</v>
      </c>
      <c r="G8" s="87"/>
      <c r="H8" s="111"/>
      <c r="I8" s="86">
        <v>9</v>
      </c>
      <c r="J8" s="85"/>
      <c r="K8" s="99">
        <v>8</v>
      </c>
      <c r="L8" s="85"/>
      <c r="M8" s="99">
        <v>9</v>
      </c>
      <c r="N8" s="85"/>
      <c r="O8" s="99">
        <v>8</v>
      </c>
      <c r="P8" s="85"/>
      <c r="Q8" s="99">
        <v>9</v>
      </c>
      <c r="R8" s="85">
        <v>8</v>
      </c>
      <c r="S8" s="99">
        <v>10</v>
      </c>
      <c r="T8" s="101">
        <v>9</v>
      </c>
      <c r="U8" s="95">
        <f t="shared" si="1"/>
        <v>8.555555555555555</v>
      </c>
      <c r="V8" s="36">
        <f t="shared" si="2"/>
        <v>9</v>
      </c>
      <c r="W8" s="36">
        <v>9</v>
      </c>
      <c r="X8" s="8">
        <v>9</v>
      </c>
      <c r="Y8" s="214">
        <f t="shared" si="3"/>
        <v>9</v>
      </c>
    </row>
    <row r="9" spans="1:25" ht="12.75">
      <c r="A9" s="3">
        <f t="shared" si="0"/>
        <v>6.875</v>
      </c>
      <c r="B9" s="37">
        <v>7</v>
      </c>
      <c r="C9" s="2" t="s">
        <v>94</v>
      </c>
      <c r="D9" s="72">
        <v>7</v>
      </c>
      <c r="E9" s="87" t="s">
        <v>206</v>
      </c>
      <c r="F9" s="99">
        <v>7</v>
      </c>
      <c r="G9" s="87" t="s">
        <v>206</v>
      </c>
      <c r="H9" s="111"/>
      <c r="I9" s="99">
        <v>4</v>
      </c>
      <c r="J9" s="85"/>
      <c r="K9" s="99">
        <v>6</v>
      </c>
      <c r="L9" s="85"/>
      <c r="M9" s="99">
        <v>4</v>
      </c>
      <c r="N9" s="85"/>
      <c r="O9" s="99">
        <v>7</v>
      </c>
      <c r="P9" s="85"/>
      <c r="Q9" s="99">
        <v>8</v>
      </c>
      <c r="R9" s="85"/>
      <c r="S9" s="99">
        <v>9</v>
      </c>
      <c r="T9" s="101">
        <v>10</v>
      </c>
      <c r="U9" s="95">
        <f t="shared" si="1"/>
        <v>6.875</v>
      </c>
      <c r="V9" s="36">
        <f t="shared" si="2"/>
        <v>7</v>
      </c>
      <c r="W9" s="36">
        <v>5</v>
      </c>
      <c r="X9" s="8">
        <v>8</v>
      </c>
      <c r="Y9" s="214">
        <f t="shared" si="3"/>
        <v>6.5</v>
      </c>
    </row>
    <row r="10" spans="1:25" ht="12.75">
      <c r="A10" s="3">
        <f t="shared" si="0"/>
        <v>8.75</v>
      </c>
      <c r="B10" s="37">
        <v>8</v>
      </c>
      <c r="C10" s="2" t="s">
        <v>95</v>
      </c>
      <c r="D10" s="72">
        <v>8</v>
      </c>
      <c r="E10" s="85"/>
      <c r="F10" s="86">
        <v>8</v>
      </c>
      <c r="G10" s="87"/>
      <c r="H10" s="111"/>
      <c r="I10" s="86">
        <v>10</v>
      </c>
      <c r="J10" s="85"/>
      <c r="K10" s="99">
        <v>10</v>
      </c>
      <c r="L10" s="85"/>
      <c r="M10" s="99">
        <v>10</v>
      </c>
      <c r="N10" s="85"/>
      <c r="O10" s="99">
        <v>8</v>
      </c>
      <c r="P10" s="85"/>
      <c r="Q10" s="99">
        <v>7</v>
      </c>
      <c r="R10" s="85"/>
      <c r="S10" s="99">
        <v>9</v>
      </c>
      <c r="T10" s="101">
        <v>8</v>
      </c>
      <c r="U10" s="95">
        <f t="shared" si="1"/>
        <v>8.75</v>
      </c>
      <c r="V10" s="36">
        <f t="shared" si="2"/>
        <v>9</v>
      </c>
      <c r="W10" s="36">
        <v>9</v>
      </c>
      <c r="X10" s="8">
        <v>9</v>
      </c>
      <c r="Y10" s="214">
        <f t="shared" si="3"/>
        <v>9</v>
      </c>
    </row>
    <row r="11" spans="1:25" ht="12.75">
      <c r="A11" s="3">
        <f t="shared" si="0"/>
        <v>6.625</v>
      </c>
      <c r="B11" s="37">
        <v>9</v>
      </c>
      <c r="C11" s="2" t="s">
        <v>96</v>
      </c>
      <c r="D11" s="72">
        <v>9</v>
      </c>
      <c r="E11" s="87"/>
      <c r="F11" s="86">
        <v>7</v>
      </c>
      <c r="G11" s="87"/>
      <c r="H11" s="111"/>
      <c r="I11" s="86">
        <v>8</v>
      </c>
      <c r="J11" s="85"/>
      <c r="K11" s="99">
        <v>7</v>
      </c>
      <c r="L11" s="85"/>
      <c r="M11" s="99">
        <v>5</v>
      </c>
      <c r="N11" s="85"/>
      <c r="O11" s="99">
        <v>8</v>
      </c>
      <c r="P11" s="85"/>
      <c r="Q11" s="99">
        <v>7</v>
      </c>
      <c r="R11" s="85"/>
      <c r="S11" s="99">
        <v>7</v>
      </c>
      <c r="T11" s="101">
        <v>4</v>
      </c>
      <c r="U11" s="95">
        <f t="shared" si="1"/>
        <v>6.625</v>
      </c>
      <c r="V11" s="8">
        <f>ROUND(U11,0)</f>
        <v>7</v>
      </c>
      <c r="W11" s="8">
        <v>7</v>
      </c>
      <c r="X11" s="8">
        <v>9</v>
      </c>
      <c r="Y11" s="214">
        <f t="shared" si="3"/>
        <v>8</v>
      </c>
    </row>
    <row r="12" spans="1:25" ht="12.75">
      <c r="A12" s="3">
        <f t="shared" si="0"/>
        <v>6.375</v>
      </c>
      <c r="B12" s="37">
        <v>10</v>
      </c>
      <c r="C12" s="2" t="s">
        <v>80</v>
      </c>
      <c r="D12" s="72">
        <v>10</v>
      </c>
      <c r="E12" s="85"/>
      <c r="F12" s="99">
        <v>7</v>
      </c>
      <c r="G12" s="87"/>
      <c r="H12" s="111"/>
      <c r="I12" s="86">
        <v>7</v>
      </c>
      <c r="J12" s="85"/>
      <c r="K12" s="99">
        <v>7</v>
      </c>
      <c r="L12" s="85"/>
      <c r="M12" s="99">
        <v>5</v>
      </c>
      <c r="N12" s="85"/>
      <c r="O12" s="99">
        <v>8</v>
      </c>
      <c r="P12" s="85"/>
      <c r="Q12" s="99">
        <v>6</v>
      </c>
      <c r="R12" s="85"/>
      <c r="S12" s="99">
        <v>7</v>
      </c>
      <c r="T12" s="101">
        <v>4</v>
      </c>
      <c r="U12" s="95">
        <f t="shared" si="1"/>
        <v>6.375</v>
      </c>
      <c r="V12" s="8">
        <f>ROUND(U12,0)</f>
        <v>6</v>
      </c>
      <c r="W12" s="8">
        <v>6</v>
      </c>
      <c r="X12" s="8">
        <v>7</v>
      </c>
      <c r="Y12" s="214">
        <f t="shared" si="3"/>
        <v>6.5</v>
      </c>
    </row>
    <row r="13" spans="1:25" ht="12.75">
      <c r="A13" s="3">
        <f t="shared" si="0"/>
        <v>6.1</v>
      </c>
      <c r="B13" s="37">
        <v>11</v>
      </c>
      <c r="C13" s="2" t="s">
        <v>97</v>
      </c>
      <c r="D13" s="72">
        <v>11</v>
      </c>
      <c r="E13" s="85"/>
      <c r="F13" s="86">
        <v>7</v>
      </c>
      <c r="G13" s="87"/>
      <c r="H13" s="111">
        <v>1</v>
      </c>
      <c r="I13" s="99">
        <v>4</v>
      </c>
      <c r="J13" s="87"/>
      <c r="K13" s="99">
        <v>4</v>
      </c>
      <c r="L13" s="85"/>
      <c r="M13" s="99">
        <v>5</v>
      </c>
      <c r="N13" s="85"/>
      <c r="O13" s="99">
        <v>4</v>
      </c>
      <c r="P13" s="85"/>
      <c r="Q13" s="99">
        <v>7</v>
      </c>
      <c r="R13" s="85">
        <v>10</v>
      </c>
      <c r="S13" s="99">
        <v>9</v>
      </c>
      <c r="T13" s="101">
        <v>10</v>
      </c>
      <c r="U13" s="95">
        <f t="shared" si="1"/>
        <v>6.1</v>
      </c>
      <c r="V13" s="8">
        <v>7</v>
      </c>
      <c r="W13" s="8">
        <v>7</v>
      </c>
      <c r="X13" s="8">
        <v>7</v>
      </c>
      <c r="Y13" s="214">
        <f t="shared" si="3"/>
        <v>7</v>
      </c>
    </row>
    <row r="14" spans="1:25" ht="12.75">
      <c r="A14" s="3"/>
      <c r="B14" s="37">
        <v>12</v>
      </c>
      <c r="C14" s="2" t="s">
        <v>98</v>
      </c>
      <c r="D14" s="72">
        <v>12</v>
      </c>
      <c r="E14" s="85"/>
      <c r="F14" s="99">
        <v>7</v>
      </c>
      <c r="G14" s="87" t="s">
        <v>206</v>
      </c>
      <c r="H14" s="111">
        <v>1</v>
      </c>
      <c r="I14" s="99">
        <v>7</v>
      </c>
      <c r="J14" s="87" t="s">
        <v>206</v>
      </c>
      <c r="K14" s="99">
        <v>7</v>
      </c>
      <c r="L14" s="85"/>
      <c r="M14" s="99">
        <v>5</v>
      </c>
      <c r="N14" s="85"/>
      <c r="O14" s="99">
        <v>4</v>
      </c>
      <c r="P14" s="85"/>
      <c r="Q14" s="99">
        <v>7</v>
      </c>
      <c r="R14" s="85"/>
      <c r="S14" s="99">
        <v>8</v>
      </c>
      <c r="T14" s="101">
        <v>10</v>
      </c>
      <c r="U14" s="95">
        <f>AVERAGE(E14:T14)</f>
        <v>6.222222222222222</v>
      </c>
      <c r="V14" s="8">
        <v>7</v>
      </c>
      <c r="W14" s="8">
        <v>8</v>
      </c>
      <c r="X14" s="8">
        <v>9</v>
      </c>
      <c r="Y14" s="214">
        <f t="shared" si="3"/>
        <v>8.5</v>
      </c>
    </row>
    <row r="15" spans="1:25" ht="12.75">
      <c r="A15" s="3"/>
      <c r="B15" s="37">
        <v>13</v>
      </c>
      <c r="C15" s="37" t="s">
        <v>243</v>
      </c>
      <c r="D15" s="72"/>
      <c r="E15" s="85"/>
      <c r="F15" s="99"/>
      <c r="G15" s="87"/>
      <c r="H15" s="111"/>
      <c r="I15" s="99"/>
      <c r="J15" s="87"/>
      <c r="K15" s="99"/>
      <c r="L15" s="85"/>
      <c r="M15" s="99"/>
      <c r="N15" s="85"/>
      <c r="O15" s="99"/>
      <c r="P15" s="85"/>
      <c r="Q15" s="99"/>
      <c r="R15" s="85"/>
      <c r="S15" s="99"/>
      <c r="T15" s="101"/>
      <c r="U15" s="4"/>
      <c r="V15" s="8">
        <v>9</v>
      </c>
      <c r="W15" s="8">
        <v>8</v>
      </c>
      <c r="X15" s="8">
        <v>10</v>
      </c>
      <c r="Y15" s="214">
        <f t="shared" si="3"/>
        <v>9</v>
      </c>
    </row>
    <row r="16" spans="1:25" ht="12.75">
      <c r="A16" s="3"/>
      <c r="B16" s="37">
        <v>14</v>
      </c>
      <c r="C16" s="37" t="s">
        <v>244</v>
      </c>
      <c r="D16" s="72"/>
      <c r="E16" s="85"/>
      <c r="F16" s="99"/>
      <c r="G16" s="87"/>
      <c r="H16" s="111"/>
      <c r="I16" s="99"/>
      <c r="J16" s="87"/>
      <c r="K16" s="99"/>
      <c r="L16" s="85"/>
      <c r="M16" s="99"/>
      <c r="N16" s="85"/>
      <c r="O16" s="99"/>
      <c r="P16" s="85"/>
      <c r="Q16" s="99"/>
      <c r="R16" s="85"/>
      <c r="S16" s="99"/>
      <c r="T16" s="101"/>
      <c r="U16" s="4"/>
      <c r="V16" s="8">
        <v>9</v>
      </c>
      <c r="W16" s="8">
        <v>9</v>
      </c>
      <c r="X16" s="8">
        <v>9</v>
      </c>
      <c r="Y16" s="214">
        <f t="shared" si="3"/>
        <v>9</v>
      </c>
    </row>
    <row r="17" spans="1:25" ht="12.75">
      <c r="A17" s="3"/>
      <c r="B17" s="37">
        <v>15</v>
      </c>
      <c r="C17" s="37" t="s">
        <v>245</v>
      </c>
      <c r="D17" s="72"/>
      <c r="E17" s="85"/>
      <c r="F17" s="99"/>
      <c r="G17" s="87"/>
      <c r="H17" s="111"/>
      <c r="I17" s="99"/>
      <c r="J17" s="87"/>
      <c r="K17" s="99"/>
      <c r="L17" s="85"/>
      <c r="M17" s="99"/>
      <c r="N17" s="85"/>
      <c r="O17" s="99"/>
      <c r="P17" s="85"/>
      <c r="Q17" s="99"/>
      <c r="R17" s="85"/>
      <c r="S17" s="99"/>
      <c r="T17" s="101"/>
      <c r="U17" s="4"/>
      <c r="V17" s="8">
        <v>9</v>
      </c>
      <c r="W17" s="8">
        <v>6</v>
      </c>
      <c r="X17" s="8">
        <v>9</v>
      </c>
      <c r="Y17" s="214">
        <f t="shared" si="3"/>
        <v>7.5</v>
      </c>
    </row>
    <row r="18" spans="1:25" ht="12.75">
      <c r="A18" s="3"/>
      <c r="B18" s="37">
        <v>16</v>
      </c>
      <c r="C18" s="2" t="s">
        <v>246</v>
      </c>
      <c r="D18" s="72"/>
      <c r="E18" s="85"/>
      <c r="F18" s="99"/>
      <c r="G18" s="87"/>
      <c r="H18" s="111"/>
      <c r="I18" s="99"/>
      <c r="J18" s="87"/>
      <c r="K18" s="99"/>
      <c r="L18" s="85"/>
      <c r="M18" s="99"/>
      <c r="N18" s="85"/>
      <c r="O18" s="99"/>
      <c r="P18" s="85"/>
      <c r="Q18" s="99"/>
      <c r="R18" s="85"/>
      <c r="S18" s="99"/>
      <c r="T18" s="101"/>
      <c r="U18" s="4"/>
      <c r="V18" s="8">
        <v>8</v>
      </c>
      <c r="W18" s="8">
        <v>7</v>
      </c>
      <c r="X18" s="8">
        <v>8</v>
      </c>
      <c r="Y18" s="214">
        <f t="shared" si="3"/>
        <v>7.5</v>
      </c>
    </row>
    <row r="19" spans="1:25" ht="12.75">
      <c r="A19" s="3"/>
      <c r="B19" s="37">
        <v>17</v>
      </c>
      <c r="C19" s="2" t="s">
        <v>247</v>
      </c>
      <c r="D19" s="72"/>
      <c r="E19" s="85"/>
      <c r="F19" s="99"/>
      <c r="G19" s="87"/>
      <c r="H19" s="111"/>
      <c r="I19" s="99"/>
      <c r="J19" s="87"/>
      <c r="K19" s="99"/>
      <c r="L19" s="85"/>
      <c r="M19" s="99"/>
      <c r="N19" s="85"/>
      <c r="O19" s="99"/>
      <c r="P19" s="85"/>
      <c r="Q19" s="99"/>
      <c r="R19" s="85"/>
      <c r="S19" s="99"/>
      <c r="T19" s="101"/>
      <c r="U19" s="4"/>
      <c r="V19" s="8">
        <v>9</v>
      </c>
      <c r="W19" s="8">
        <v>6</v>
      </c>
      <c r="X19" s="8">
        <v>8</v>
      </c>
      <c r="Y19" s="214">
        <f t="shared" si="3"/>
        <v>7</v>
      </c>
    </row>
    <row r="20" spans="1:25" ht="12.75">
      <c r="A20" s="3"/>
      <c r="B20" s="37">
        <v>18</v>
      </c>
      <c r="C20" s="2" t="s">
        <v>248</v>
      </c>
      <c r="D20" s="72"/>
      <c r="E20" s="85"/>
      <c r="F20" s="99"/>
      <c r="G20" s="87"/>
      <c r="H20" s="111"/>
      <c r="I20" s="99"/>
      <c r="J20" s="87"/>
      <c r="K20" s="99"/>
      <c r="L20" s="85"/>
      <c r="M20" s="99"/>
      <c r="N20" s="85"/>
      <c r="O20" s="99"/>
      <c r="P20" s="85"/>
      <c r="Q20" s="99"/>
      <c r="R20" s="85"/>
      <c r="S20" s="99"/>
      <c r="T20" s="101"/>
      <c r="U20" s="4"/>
      <c r="V20" s="8">
        <v>9</v>
      </c>
      <c r="W20" s="8">
        <v>9</v>
      </c>
      <c r="X20" s="8">
        <v>9</v>
      </c>
      <c r="Y20" s="214">
        <f t="shared" si="3"/>
        <v>9</v>
      </c>
    </row>
    <row r="21" spans="1:25" ht="12.75">
      <c r="A21" s="3"/>
      <c r="B21" s="37">
        <v>19</v>
      </c>
      <c r="C21" s="2" t="s">
        <v>249</v>
      </c>
      <c r="D21" s="72"/>
      <c r="E21" s="85"/>
      <c r="F21" s="99"/>
      <c r="G21" s="87"/>
      <c r="H21" s="111"/>
      <c r="I21" s="99"/>
      <c r="J21" s="87"/>
      <c r="K21" s="99"/>
      <c r="L21" s="85"/>
      <c r="M21" s="99"/>
      <c r="N21" s="85"/>
      <c r="O21" s="99"/>
      <c r="P21" s="85"/>
      <c r="Q21" s="99"/>
      <c r="R21" s="85"/>
      <c r="S21" s="99"/>
      <c r="T21" s="101"/>
      <c r="U21" s="4"/>
      <c r="V21" s="8">
        <v>9</v>
      </c>
      <c r="W21" s="8">
        <v>6</v>
      </c>
      <c r="X21" s="8">
        <v>8</v>
      </c>
      <c r="Y21" s="214">
        <f t="shared" si="3"/>
        <v>7</v>
      </c>
    </row>
    <row r="22" spans="1:25" ht="12.75">
      <c r="A22" s="3"/>
      <c r="B22" s="37">
        <v>20</v>
      </c>
      <c r="C22" s="2" t="s">
        <v>250</v>
      </c>
      <c r="D22" s="72"/>
      <c r="E22" s="85"/>
      <c r="F22" s="99"/>
      <c r="G22" s="87"/>
      <c r="H22" s="111"/>
      <c r="I22" s="99"/>
      <c r="J22" s="87"/>
      <c r="K22" s="99"/>
      <c r="L22" s="85"/>
      <c r="M22" s="99"/>
      <c r="N22" s="85"/>
      <c r="O22" s="99"/>
      <c r="P22" s="85"/>
      <c r="Q22" s="99"/>
      <c r="R22" s="85"/>
      <c r="S22" s="99"/>
      <c r="T22" s="101"/>
      <c r="U22" s="4"/>
      <c r="V22" s="8">
        <v>6</v>
      </c>
      <c r="W22" s="8">
        <v>6</v>
      </c>
      <c r="X22" s="8">
        <v>6</v>
      </c>
      <c r="Y22" s="214">
        <f t="shared" si="3"/>
        <v>6</v>
      </c>
    </row>
    <row r="23" spans="1:25" ht="12.75">
      <c r="A23" s="3"/>
      <c r="B23" s="37">
        <v>21</v>
      </c>
      <c r="C23" s="2" t="s">
        <v>251</v>
      </c>
      <c r="D23" s="72"/>
      <c r="E23" s="85"/>
      <c r="F23" s="99"/>
      <c r="G23" s="87"/>
      <c r="H23" s="111"/>
      <c r="I23" s="99"/>
      <c r="J23" s="87"/>
      <c r="K23" s="99"/>
      <c r="L23" s="85"/>
      <c r="M23" s="99"/>
      <c r="N23" s="85"/>
      <c r="O23" s="99"/>
      <c r="P23" s="85"/>
      <c r="Q23" s="99"/>
      <c r="R23" s="85"/>
      <c r="S23" s="99"/>
      <c r="T23" s="101"/>
      <c r="U23" s="4"/>
      <c r="V23" s="8">
        <v>4</v>
      </c>
      <c r="W23" s="8">
        <v>5</v>
      </c>
      <c r="X23" s="8">
        <v>7</v>
      </c>
      <c r="Y23" s="214">
        <f t="shared" si="3"/>
        <v>6</v>
      </c>
    </row>
    <row r="24" spans="1:25" ht="12.75">
      <c r="A24" s="3"/>
      <c r="B24" s="37">
        <v>22</v>
      </c>
      <c r="C24" s="2" t="s">
        <v>252</v>
      </c>
      <c r="D24" s="72"/>
      <c r="E24" s="85"/>
      <c r="F24" s="99"/>
      <c r="G24" s="87"/>
      <c r="H24" s="111"/>
      <c r="I24" s="99"/>
      <c r="J24" s="87"/>
      <c r="K24" s="99"/>
      <c r="L24" s="85"/>
      <c r="M24" s="99"/>
      <c r="N24" s="85"/>
      <c r="O24" s="99"/>
      <c r="P24" s="85"/>
      <c r="Q24" s="99"/>
      <c r="R24" s="85"/>
      <c r="S24" s="99"/>
      <c r="T24" s="101"/>
      <c r="U24" s="4"/>
      <c r="V24" s="8">
        <v>5</v>
      </c>
      <c r="W24" s="8">
        <v>5</v>
      </c>
      <c r="X24" s="8">
        <v>5</v>
      </c>
      <c r="Y24" s="214">
        <f t="shared" si="3"/>
        <v>5</v>
      </c>
    </row>
    <row r="25" spans="1:25" ht="12.75">
      <c r="A25" s="3">
        <f t="shared" si="0"/>
        <v>0</v>
      </c>
      <c r="B25" s="37">
        <v>23</v>
      </c>
      <c r="C25" s="2" t="s">
        <v>253</v>
      </c>
      <c r="D25" s="72"/>
      <c r="E25" s="85"/>
      <c r="F25" s="99"/>
      <c r="G25" s="87"/>
      <c r="H25" s="111"/>
      <c r="I25" s="99"/>
      <c r="J25" s="87"/>
      <c r="K25" s="99"/>
      <c r="L25" s="85"/>
      <c r="M25" s="99"/>
      <c r="N25" s="85"/>
      <c r="O25" s="99"/>
      <c r="P25" s="85"/>
      <c r="Q25" s="99"/>
      <c r="R25" s="85"/>
      <c r="S25" s="99"/>
      <c r="T25" s="101"/>
      <c r="U25" s="4"/>
      <c r="V25" s="8">
        <v>9</v>
      </c>
      <c r="W25" s="8">
        <v>8</v>
      </c>
      <c r="X25" s="8">
        <v>10</v>
      </c>
      <c r="Y25" s="214">
        <f t="shared" si="3"/>
        <v>9</v>
      </c>
    </row>
    <row r="26" spans="3:25" s="5" customFormat="1" ht="12.75">
      <c r="C26" s="232" t="s">
        <v>0</v>
      </c>
      <c r="D26" s="233"/>
      <c r="E26" s="89"/>
      <c r="F26" s="90">
        <f>AVERAGE(F3:F25)</f>
        <v>7.166666666666667</v>
      </c>
      <c r="G26" s="89"/>
      <c r="H26" s="128"/>
      <c r="I26" s="90">
        <f>AVERAGE(I3:I25)</f>
        <v>7.166666666666667</v>
      </c>
      <c r="J26" s="89"/>
      <c r="K26" s="90">
        <f>AVERAGE(K3:K25)</f>
        <v>7.75</v>
      </c>
      <c r="L26" s="89"/>
      <c r="M26" s="90">
        <f>AVERAGE(M3:M25)</f>
        <v>6.75</v>
      </c>
      <c r="N26" s="117"/>
      <c r="O26" s="90">
        <f>AVERAGE(O3:O25)</f>
        <v>7</v>
      </c>
      <c r="P26" s="89"/>
      <c r="Q26" s="90">
        <f>AVERAGE(Q3:Q25)</f>
        <v>7.666666666666667</v>
      </c>
      <c r="R26" s="89"/>
      <c r="S26" s="90">
        <f aca="true" t="shared" si="4" ref="S26:Y26">AVERAGE(S3:S25)</f>
        <v>8.666666666666666</v>
      </c>
      <c r="T26" s="93">
        <f t="shared" si="4"/>
        <v>8.25</v>
      </c>
      <c r="U26" s="102">
        <f t="shared" si="4"/>
        <v>7.4817129629629635</v>
      </c>
      <c r="V26" s="34">
        <f t="shared" si="4"/>
        <v>7.826086956521739</v>
      </c>
      <c r="W26" s="34">
        <f t="shared" si="4"/>
        <v>7</v>
      </c>
      <c r="X26" s="34">
        <f t="shared" si="4"/>
        <v>8.217391304347826</v>
      </c>
      <c r="Y26" s="34">
        <f t="shared" si="4"/>
        <v>7.608695652173913</v>
      </c>
    </row>
    <row r="27" spans="3:22" s="5" customFormat="1" ht="13.5" thickBot="1">
      <c r="C27" s="6"/>
      <c r="D27" s="97"/>
      <c r="E27" s="234" t="s">
        <v>179</v>
      </c>
      <c r="F27" s="235"/>
      <c r="G27" s="234" t="s">
        <v>180</v>
      </c>
      <c r="H27" s="236"/>
      <c r="I27" s="235"/>
      <c r="J27" s="234" t="s">
        <v>181</v>
      </c>
      <c r="K27" s="235"/>
      <c r="L27" s="234" t="s">
        <v>182</v>
      </c>
      <c r="M27" s="235"/>
      <c r="N27" s="234" t="s">
        <v>183</v>
      </c>
      <c r="O27" s="235"/>
      <c r="P27" s="234" t="s">
        <v>184</v>
      </c>
      <c r="Q27" s="235"/>
      <c r="R27" s="234" t="s">
        <v>185</v>
      </c>
      <c r="S27" s="235"/>
      <c r="T27" s="94" t="s">
        <v>186</v>
      </c>
      <c r="U27" s="96"/>
      <c r="V27" s="9"/>
    </row>
    <row r="28" spans="3:22" ht="12.75">
      <c r="C28" s="4" t="s">
        <v>46</v>
      </c>
      <c r="D28" s="57"/>
      <c r="E28" s="237" t="s">
        <v>22</v>
      </c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35">
        <f>V28/B25</f>
        <v>1</v>
      </c>
      <c r="V28" s="8">
        <f>COUNTIF(V3:V25,"&gt;3")</f>
        <v>23</v>
      </c>
    </row>
    <row r="29" spans="3:22" ht="12.75">
      <c r="C29" s="4" t="s">
        <v>47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3"/>
      <c r="U29" s="35">
        <f>V29/B25</f>
        <v>0.8260869565217391</v>
      </c>
      <c r="V29" s="8">
        <f>COUNTIF(V3:V25,"&gt;6")</f>
        <v>19</v>
      </c>
    </row>
    <row r="31" ht="12.75">
      <c r="C31" t="s">
        <v>187</v>
      </c>
    </row>
    <row r="33" ht="12.75">
      <c r="V33" s="108"/>
    </row>
  </sheetData>
  <sheetProtection/>
  <mergeCells count="10">
    <mergeCell ref="E28:T28"/>
    <mergeCell ref="J27:K27"/>
    <mergeCell ref="L27:M27"/>
    <mergeCell ref="N27:O27"/>
    <mergeCell ref="P27:Q27"/>
    <mergeCell ref="R27:S27"/>
    <mergeCell ref="C1:I1"/>
    <mergeCell ref="C26:D26"/>
    <mergeCell ref="E27:F27"/>
    <mergeCell ref="G27:I27"/>
  </mergeCells>
  <conditionalFormatting sqref="V3:X2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U3:U14 Y3:Y2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PageLayoutView="0" workbookViewId="0" topLeftCell="A4">
      <selection activeCell="Q28" sqref="Q28"/>
    </sheetView>
  </sheetViews>
  <sheetFormatPr defaultColWidth="9.00390625" defaultRowHeight="12.75"/>
  <cols>
    <col min="1" max="1" width="17.75390625" style="0" customWidth="1"/>
    <col min="2" max="2" width="11.125" style="0" customWidth="1"/>
    <col min="3" max="3" width="8.125" style="0" customWidth="1"/>
    <col min="4" max="4" width="8.625" style="0" customWidth="1"/>
    <col min="5" max="5" width="7.875" style="0" customWidth="1"/>
    <col min="6" max="6" width="8.00390625" style="0" customWidth="1"/>
    <col min="7" max="7" width="7.75390625" style="0" customWidth="1"/>
    <col min="8" max="8" width="5.875" style="0" customWidth="1"/>
    <col min="9" max="9" width="5.75390625" style="0" customWidth="1"/>
    <col min="10" max="10" width="8.125" style="0" customWidth="1"/>
    <col min="11" max="13" width="6.75390625" style="0" customWidth="1"/>
    <col min="14" max="14" width="7.625" style="0" customWidth="1"/>
    <col min="15" max="15" width="10.00390625" style="15" customWidth="1"/>
    <col min="16" max="16" width="11.875" style="29" customWidth="1"/>
    <col min="17" max="17" width="11.00390625" style="28" bestFit="1" customWidth="1"/>
  </cols>
  <sheetData>
    <row r="1" spans="4:17" s="16" customFormat="1" ht="15.75">
      <c r="D1" s="16" t="s">
        <v>2</v>
      </c>
      <c r="O1" s="17"/>
      <c r="P1" s="27"/>
      <c r="Q1" s="27"/>
    </row>
    <row r="2" spans="5:8" ht="15.75">
      <c r="E2" s="18" t="s">
        <v>199</v>
      </c>
      <c r="F2" s="16"/>
      <c r="G2" s="16"/>
      <c r="H2" s="16"/>
    </row>
    <row r="4" spans="1:3" ht="12.75">
      <c r="A4" s="5" t="s">
        <v>3</v>
      </c>
      <c r="B4" s="5" t="s">
        <v>4</v>
      </c>
      <c r="C4" s="5"/>
    </row>
    <row r="5" spans="1:9" ht="12.75">
      <c r="A5" s="264" t="s">
        <v>5</v>
      </c>
      <c r="B5" s="265"/>
      <c r="C5" s="265"/>
      <c r="D5" s="266"/>
      <c r="E5" s="268" t="s">
        <v>6</v>
      </c>
      <c r="F5" s="252"/>
      <c r="G5" s="252"/>
      <c r="H5" s="33"/>
      <c r="I5" s="33"/>
    </row>
    <row r="6" spans="1:9" ht="12.75">
      <c r="A6" s="254" t="s">
        <v>51</v>
      </c>
      <c r="B6" s="255"/>
      <c r="C6" s="255"/>
      <c r="D6" s="256"/>
      <c r="E6" s="12" t="s">
        <v>139</v>
      </c>
      <c r="F6" s="12" t="s">
        <v>140</v>
      </c>
      <c r="G6" s="12" t="s">
        <v>200</v>
      </c>
      <c r="H6" s="32"/>
      <c r="I6" s="32"/>
    </row>
    <row r="7" spans="1:9" ht="12.75">
      <c r="A7" s="254" t="s">
        <v>50</v>
      </c>
      <c r="B7" s="255"/>
      <c r="C7" s="255"/>
      <c r="D7" s="256"/>
      <c r="E7" s="12" t="s">
        <v>141</v>
      </c>
      <c r="F7" s="12" t="s">
        <v>142</v>
      </c>
      <c r="G7" s="1"/>
      <c r="H7" s="32"/>
      <c r="I7" s="32"/>
    </row>
    <row r="8" spans="1:9" ht="12.75">
      <c r="A8" s="254" t="s">
        <v>77</v>
      </c>
      <c r="B8" s="255"/>
      <c r="C8" s="255"/>
      <c r="D8" s="256"/>
      <c r="E8" s="12" t="s">
        <v>201</v>
      </c>
      <c r="F8" s="12"/>
      <c r="G8" s="1"/>
      <c r="H8" s="32"/>
      <c r="I8" s="32"/>
    </row>
    <row r="9" spans="1:9" ht="12.75">
      <c r="A9" s="254" t="s">
        <v>17</v>
      </c>
      <c r="B9" s="255"/>
      <c r="C9" s="255"/>
      <c r="D9" s="256"/>
      <c r="E9" s="12" t="s">
        <v>200</v>
      </c>
      <c r="F9" s="12"/>
      <c r="G9" s="1"/>
      <c r="H9" s="32"/>
      <c r="I9" s="32"/>
    </row>
    <row r="10" spans="1:9" ht="12.75">
      <c r="A10" s="258" t="s">
        <v>38</v>
      </c>
      <c r="B10" s="259"/>
      <c r="C10" s="259"/>
      <c r="D10" s="260"/>
      <c r="E10" s="12" t="s">
        <v>143</v>
      </c>
      <c r="F10" s="12" t="s">
        <v>144</v>
      </c>
      <c r="G10" s="1"/>
      <c r="I10" s="32"/>
    </row>
    <row r="11" spans="3:6" ht="12.75">
      <c r="C11" s="14"/>
      <c r="D11" s="14"/>
      <c r="E11" s="14"/>
      <c r="F11" s="14"/>
    </row>
    <row r="12" spans="1:19" ht="12.75">
      <c r="A12" s="24" t="s">
        <v>8</v>
      </c>
      <c r="B12" s="24" t="s">
        <v>9</v>
      </c>
      <c r="C12" s="24">
        <v>10</v>
      </c>
      <c r="D12" s="25">
        <v>9</v>
      </c>
      <c r="E12" s="25">
        <v>8</v>
      </c>
      <c r="F12" s="24">
        <v>7</v>
      </c>
      <c r="G12" s="24">
        <v>6</v>
      </c>
      <c r="H12" s="24">
        <v>5</v>
      </c>
      <c r="I12" s="24">
        <v>4</v>
      </c>
      <c r="J12" s="24">
        <v>3</v>
      </c>
      <c r="K12" s="24">
        <v>2</v>
      </c>
      <c r="L12" s="24">
        <v>1</v>
      </c>
      <c r="M12" s="24">
        <v>0</v>
      </c>
      <c r="N12" s="24" t="s">
        <v>13</v>
      </c>
      <c r="O12" s="24" t="s">
        <v>10</v>
      </c>
      <c r="P12" s="26" t="s">
        <v>11</v>
      </c>
      <c r="Q12" s="26" t="s">
        <v>12</v>
      </c>
      <c r="R12" s="14"/>
      <c r="S12" s="14"/>
    </row>
    <row r="13" spans="1:19" ht="13.5" thickBot="1">
      <c r="A13" s="178" t="s">
        <v>18</v>
      </c>
      <c r="B13" s="178" t="s">
        <v>19</v>
      </c>
      <c r="C13" s="178"/>
      <c r="D13" s="179"/>
      <c r="E13" s="179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80"/>
      <c r="Q13" s="180"/>
      <c r="R13" s="14"/>
      <c r="S13" s="14"/>
    </row>
    <row r="14" spans="1:17" ht="12.75">
      <c r="A14" s="181" t="s">
        <v>145</v>
      </c>
      <c r="B14" s="182" t="s">
        <v>203</v>
      </c>
      <c r="C14" s="183">
        <f>COUNTIF('23в-1_ПО'!$T$3:$T$25,C12)</f>
        <v>7</v>
      </c>
      <c r="D14" s="183">
        <f>COUNTIF('23в-1_ПО'!$T$3:$T$25,D12)</f>
        <v>1</v>
      </c>
      <c r="E14" s="183">
        <f>COUNTIF('23в-1_ПО'!$T$3:$T$25,E12)</f>
        <v>1</v>
      </c>
      <c r="F14" s="183">
        <f>COUNTIF('23в-1_ПО'!$T$3:$T$25,F12)</f>
        <v>0</v>
      </c>
      <c r="G14" s="183">
        <f>COUNTIF('23в-1_ПО'!$T$3:$T$25,G12)</f>
        <v>0</v>
      </c>
      <c r="H14" s="183">
        <f>COUNTIF('23в-1_ПО'!$T$3:$T$25,H12)</f>
        <v>0</v>
      </c>
      <c r="I14" s="183">
        <f>COUNTIF('23в-1_ПО'!$T$3:$T$25,I12)</f>
        <v>3</v>
      </c>
      <c r="J14" s="183">
        <f>COUNTIF('23в-1_ПО'!$T$3:$T$25,J12)</f>
        <v>0</v>
      </c>
      <c r="K14" s="183">
        <f>COUNTIF('23в-1_ПО'!$T$3:$T$25,K12)</f>
        <v>0</v>
      </c>
      <c r="L14" s="183">
        <f>COUNTIF('23в-1_ПО'!$T$3:$T$25,L12)</f>
        <v>0</v>
      </c>
      <c r="M14" s="183">
        <f>COUNTIF('23в-1_ПО'!$T$3:$T$25,M12)</f>
        <v>0</v>
      </c>
      <c r="N14" s="183">
        <f>$A$16-SUM(C14:M14)-11</f>
        <v>0</v>
      </c>
      <c r="O14" s="184">
        <f>'23в-1_ПО'!T26</f>
        <v>8.25</v>
      </c>
      <c r="P14" s="185">
        <f>SUM(C14:I14)/12</f>
        <v>1</v>
      </c>
      <c r="Q14" s="186">
        <f>SUM(C14:F14)/12</f>
        <v>0.75</v>
      </c>
    </row>
    <row r="15" spans="1:17" ht="12.75">
      <c r="A15" s="187"/>
      <c r="B15" s="1" t="s">
        <v>7</v>
      </c>
      <c r="C15" s="1">
        <f>COUNTIF('23в-1_ПО'!$V$3:$V$25,C12)</f>
        <v>0</v>
      </c>
      <c r="D15" s="1">
        <f>COUNTIF('23в-1_ПО'!$V$3:$V$25,D12)</f>
        <v>12</v>
      </c>
      <c r="E15" s="1">
        <f>COUNTIF('23в-1_ПО'!$V$3:$V$25,E12)</f>
        <v>2</v>
      </c>
      <c r="F15" s="1">
        <f>COUNTIF('23в-1_ПО'!$V$3:$V$25,F12)</f>
        <v>5</v>
      </c>
      <c r="G15" s="1">
        <f>COUNTIF('23в-1_ПО'!$V$3:$V$25,G12)</f>
        <v>2</v>
      </c>
      <c r="H15" s="1">
        <f>COUNTIF('23в-1_ПО'!$V$3:$V$25,H12)</f>
        <v>1</v>
      </c>
      <c r="I15" s="1">
        <f>COUNTIF('23в-1_ПО'!$V$3:$V$25,I12)</f>
        <v>1</v>
      </c>
      <c r="J15" s="1">
        <f>COUNTIF('23в-1_ПО'!$V$3:$V$25,J12)</f>
        <v>0</v>
      </c>
      <c r="K15" s="1">
        <f>COUNTIF('23в-1_ПО'!$V$3:$V$25,K12)</f>
        <v>0</v>
      </c>
      <c r="L15" s="1">
        <f>COUNTIF('23в-1_ПО'!$V$3:$V$25,L12)</f>
        <v>0</v>
      </c>
      <c r="M15" s="1">
        <f>COUNTIF('23в-1_ПО'!$V$3:$V$25,M12)</f>
        <v>0</v>
      </c>
      <c r="N15" s="21">
        <f>$A$16-SUM(C15:M15)</f>
        <v>0</v>
      </c>
      <c r="O15" s="31">
        <f>'23в-1_ПО'!V26</f>
        <v>7.826086956521739</v>
      </c>
      <c r="P15" s="30">
        <f>SUM(C15:I15)/$A$16</f>
        <v>1</v>
      </c>
      <c r="Q15" s="188">
        <f>SUM(C15:F15)/$A$16</f>
        <v>0.8260869565217391</v>
      </c>
    </row>
    <row r="16" spans="1:17" ht="13.5" thickBot="1">
      <c r="A16" s="189">
        <f>'23в-1_ПО'!B25</f>
        <v>23</v>
      </c>
      <c r="B16" s="190" t="s">
        <v>202</v>
      </c>
      <c r="C16" s="190">
        <f>COUNTIF('23в-1_ПО'!$X$3:$X$25,C12)</f>
        <v>2</v>
      </c>
      <c r="D16" s="190">
        <f>COUNTIF('23в-1_ПО'!$X$3:$X$25,D12)</f>
        <v>10</v>
      </c>
      <c r="E16" s="190">
        <f>COUNTIF('23в-1_ПО'!$X$3:$X$25,E12)</f>
        <v>5</v>
      </c>
      <c r="F16" s="190">
        <f>COUNTIF('23в-1_ПО'!$X$3:$X$25,F12)</f>
        <v>4</v>
      </c>
      <c r="G16" s="190">
        <f>COUNTIF('23в-1_ПО'!$X$3:$X$25,G12)</f>
        <v>1</v>
      </c>
      <c r="H16" s="190">
        <f>COUNTIF('23в-1_ПО'!$X$3:$X$25,H12)</f>
        <v>1</v>
      </c>
      <c r="I16" s="190">
        <f>COUNTIF('23в-1_ПО'!$X$3:$X$25,I12)</f>
        <v>0</v>
      </c>
      <c r="J16" s="190">
        <f>COUNTIF('23в-1_ПО'!$X$3:$X$25,J12)</f>
        <v>0</v>
      </c>
      <c r="K16" s="190">
        <f>COUNTIF('23в-1_ПО'!$X$3:$X$25,K12)</f>
        <v>0</v>
      </c>
      <c r="L16" s="190">
        <f>COUNTIF('23в-1_ПО'!$X$3:$X$25,L12)</f>
        <v>0</v>
      </c>
      <c r="M16" s="190">
        <f>COUNTIF('23в-1_ПО'!$X$3:$X$25,M12)</f>
        <v>0</v>
      </c>
      <c r="N16" s="191">
        <f>$A$16-SUM(C16:M16)</f>
        <v>0</v>
      </c>
      <c r="O16" s="192">
        <f>'23в-1_ПО'!X26</f>
        <v>8.217391304347826</v>
      </c>
      <c r="P16" s="193">
        <f>SUM(C16:I16)/$A$16</f>
        <v>1</v>
      </c>
      <c r="Q16" s="194">
        <f>SUM(C16:F16)/$A$16</f>
        <v>0.9130434782608695</v>
      </c>
    </row>
    <row r="17" spans="1:17" ht="12.75">
      <c r="A17" s="181" t="s">
        <v>146</v>
      </c>
      <c r="B17" s="182" t="s">
        <v>203</v>
      </c>
      <c r="C17" s="183">
        <f>COUNTIF('24вк-1_ПО'!$X$3:$X$27,C12)</f>
        <v>0</v>
      </c>
      <c r="D17" s="183">
        <f>COUNTIF('24вк-1_ПО'!$X$3:$X$27,D12)</f>
        <v>2</v>
      </c>
      <c r="E17" s="183">
        <f>COUNTIF('24вк-1_ПО'!$X$3:$X$27,E12)</f>
        <v>4</v>
      </c>
      <c r="F17" s="183">
        <f>COUNTIF('24вк-1_ПО'!$X$3:$X$27,F12)</f>
        <v>0</v>
      </c>
      <c r="G17" s="183">
        <f>COUNTIF('24вк-1_ПО'!$X$3:$X$27,G12)</f>
        <v>0</v>
      </c>
      <c r="H17" s="183">
        <f>COUNTIF('24вк-1_ПО'!$X$3:$X$27,H12)</f>
        <v>0</v>
      </c>
      <c r="I17" s="183">
        <f>COUNTIF('24вк-1_ПО'!$X$3:$X$27,I12)</f>
        <v>7</v>
      </c>
      <c r="J17" s="183">
        <f>COUNTIF('24вк-1_ПО'!$X$3:$X$27,J12)</f>
        <v>0</v>
      </c>
      <c r="K17" s="183">
        <f>COUNTIF('24вк-1_ПО'!$X$3:$X$27,K12)</f>
        <v>0</v>
      </c>
      <c r="L17" s="183">
        <f>COUNTIF('24вк-1_ПО'!$X$3:$X$27,L12)</f>
        <v>0</v>
      </c>
      <c r="M17" s="183">
        <f>COUNTIF('24вк-1_ПО'!$X$3:$X$27,M12)</f>
        <v>0</v>
      </c>
      <c r="N17" s="183">
        <f>$A$19-SUM(C17:M17)-12</f>
        <v>0</v>
      </c>
      <c r="O17" s="184">
        <f>'24вк-1_ПО'!X28</f>
        <v>6</v>
      </c>
      <c r="P17" s="185">
        <f>SUM(C17:I17)/13</f>
        <v>1</v>
      </c>
      <c r="Q17" s="186">
        <f>SUM(C17:F17)/13</f>
        <v>0.46153846153846156</v>
      </c>
    </row>
    <row r="18" spans="1:17" ht="12.75">
      <c r="A18" s="187"/>
      <c r="B18" s="1" t="s">
        <v>7</v>
      </c>
      <c r="C18" s="1">
        <f>COUNTIF('24вк-1_ПО'!$Z$3:$Z$27,C12)</f>
        <v>1</v>
      </c>
      <c r="D18" s="1">
        <f>COUNTIF('24вк-1_ПО'!$Z$3:$Z$27,D12)</f>
        <v>3</v>
      </c>
      <c r="E18" s="1">
        <f>COUNTIF('24вк-1_ПО'!$Z$3:$Z$27,E12)</f>
        <v>3</v>
      </c>
      <c r="F18" s="1">
        <f>COUNTIF('24вк-1_ПО'!$Z$3:$Z$27,F12)</f>
        <v>3</v>
      </c>
      <c r="G18" s="1">
        <f>COUNTIF('24вк-1_ПО'!$Z$3:$Z$27,G12)</f>
        <v>1</v>
      </c>
      <c r="H18" s="1">
        <f>COUNTIF('24вк-1_ПО'!$Z$3:$Z$27,H12)</f>
        <v>4</v>
      </c>
      <c r="I18" s="1">
        <f>COUNTIF('24вк-1_ПО'!$Z$3:$Z$27,I12)</f>
        <v>10</v>
      </c>
      <c r="J18" s="1">
        <f>COUNTIF('24вк-1_ПО'!$Z$3:$Z$27,J12)</f>
        <v>0</v>
      </c>
      <c r="K18" s="1">
        <f>COUNTIF('24вк-1_ПО'!$Z$3:$Z$27,K12)</f>
        <v>0</v>
      </c>
      <c r="L18" s="1">
        <f>COUNTIF('24вк-1_ПО'!$Z$3:$Z$27,L12)</f>
        <v>0</v>
      </c>
      <c r="M18" s="1">
        <f>COUNTIF('24вк-1_ПО'!$Z$3:$Z$27,M12)</f>
        <v>0</v>
      </c>
      <c r="N18" s="21">
        <f>$A$19-SUM(C18:M18)</f>
        <v>0</v>
      </c>
      <c r="O18" s="31">
        <f>'24вк-1_ПО'!Z28</f>
        <v>5.92</v>
      </c>
      <c r="P18" s="30">
        <f>SUM(C18:I18)/$A$19</f>
        <v>1</v>
      </c>
      <c r="Q18" s="188">
        <f>SUM(C18:F18)/$A$19</f>
        <v>0.4</v>
      </c>
    </row>
    <row r="19" spans="1:17" ht="13.5" thickBot="1">
      <c r="A19" s="189">
        <f>'24вк-1_ПО'!B27</f>
        <v>25</v>
      </c>
      <c r="B19" s="190" t="s">
        <v>202</v>
      </c>
      <c r="C19" s="190">
        <f>COUNTIF('24вк-1_ПО'!$AB$3:$AB$27,C12)</f>
        <v>4</v>
      </c>
      <c r="D19" s="190">
        <f>COUNTIF('24вк-1_ПО'!$AB$3:$AB$27,D12)</f>
        <v>3</v>
      </c>
      <c r="E19" s="190">
        <f>COUNTIF('24вк-1_ПО'!$AB$3:$AB$27,E12)</f>
        <v>1</v>
      </c>
      <c r="F19" s="190">
        <f>COUNTIF('24вк-1_ПО'!$AB$3:$AB$27,F12)</f>
        <v>2</v>
      </c>
      <c r="G19" s="190">
        <f>COUNTIF('24вк-1_ПО'!$AB$3:$AB$27,G12)</f>
        <v>3</v>
      </c>
      <c r="H19" s="190">
        <f>COUNTIF('24вк-1_ПО'!$AB$3:$AB$27,H12)</f>
        <v>2</v>
      </c>
      <c r="I19" s="190">
        <f>COUNTIF('24вк-1_ПО'!$AB$3:$AB$27,I12)</f>
        <v>10</v>
      </c>
      <c r="J19" s="190">
        <f>COUNTIF('24вк-1_ПО'!$AB$3:$AB$27,J12)</f>
        <v>0</v>
      </c>
      <c r="K19" s="190">
        <f>COUNTIF('24вк-1_ПО'!$AB$3:$AB$27,K12)</f>
        <v>0</v>
      </c>
      <c r="L19" s="190">
        <f>COUNTIF('24вк-1_ПО'!$AB$3:$AB$27,L12)</f>
        <v>0</v>
      </c>
      <c r="M19" s="190">
        <f>COUNTIF('24вк-1_ПО'!$AB$3:$AB$27,M12)</f>
        <v>0</v>
      </c>
      <c r="N19" s="191">
        <f>$A$19-SUM(C19:M19)</f>
        <v>0</v>
      </c>
      <c r="O19" s="192">
        <f>'24вк-1_ПО'!AB28</f>
        <v>6.28</v>
      </c>
      <c r="P19" s="193">
        <f>SUM(C19:I19)/$A$19</f>
        <v>1</v>
      </c>
      <c r="Q19" s="194">
        <f>SUM(C19:F19)/$A$19</f>
        <v>0.4</v>
      </c>
    </row>
    <row r="20" spans="1:17" ht="12.75">
      <c r="A20" s="181" t="s">
        <v>208</v>
      </c>
      <c r="B20" s="182" t="s">
        <v>1</v>
      </c>
      <c r="C20" s="183">
        <f>COUNTIF('44ппа_САПР'!$M$3:$M$29,C12)</f>
        <v>5</v>
      </c>
      <c r="D20" s="183">
        <f>COUNTIF('44ппа_САПР'!$M$3:$M$29,D12)</f>
        <v>16</v>
      </c>
      <c r="E20" s="183">
        <f>COUNTIF('44ппа_САПР'!$M$3:$M$29,E12)</f>
        <v>2</v>
      </c>
      <c r="F20" s="183">
        <f>COUNTIF('44ппа_САПР'!$M$3:$M$29,F12)</f>
        <v>2</v>
      </c>
      <c r="G20" s="183">
        <f>COUNTIF('44ппа_САПР'!$M$3:$M$29,G12)</f>
        <v>1</v>
      </c>
      <c r="H20" s="183">
        <f>COUNTIF('44ппа_САПР'!$M$3:$M$29,H12)</f>
        <v>0</v>
      </c>
      <c r="I20" s="183">
        <f>COUNTIF('44ппа_САПР'!$M$3:$M$29,I12)</f>
        <v>0</v>
      </c>
      <c r="J20" s="183">
        <f>COUNTIF('44ппа_САПР'!$M$3:$M$29,J12)</f>
        <v>0</v>
      </c>
      <c r="K20" s="183">
        <f>COUNTIF('44ппа_САПР'!$M$3:$M$29,K12)</f>
        <v>0</v>
      </c>
      <c r="L20" s="183">
        <f>COUNTIF('44ппа_САПР'!$M$3:$M$29,L12)</f>
        <v>0</v>
      </c>
      <c r="M20" s="183">
        <f>COUNTIF('44ппа_САПР'!$M$3:$M$29,M12)</f>
        <v>0</v>
      </c>
      <c r="N20" s="183">
        <f>$A$21-SUM(C20:M20)</f>
        <v>0</v>
      </c>
      <c r="O20" s="184">
        <f>'44ппа_САПР'!M30</f>
        <v>8.846153846153847</v>
      </c>
      <c r="P20" s="185">
        <f>SUM(C20:I20)/$A$21</f>
        <v>1</v>
      </c>
      <c r="Q20" s="186">
        <f>SUM(C20:F20)/$A$21</f>
        <v>0.9615384615384616</v>
      </c>
    </row>
    <row r="21" spans="1:17" ht="13.5" thickBot="1">
      <c r="A21" s="189">
        <f>'44ппа_САПР'!B29</f>
        <v>26</v>
      </c>
      <c r="B21" s="190" t="s">
        <v>7</v>
      </c>
      <c r="C21" s="190">
        <f>COUNTIF('44ппа_САПР'!$O$3:$O$29,C12)</f>
        <v>3</v>
      </c>
      <c r="D21" s="190">
        <f>COUNTIF('44ппа_САПР'!$O$3:$O$29,D12)</f>
        <v>13</v>
      </c>
      <c r="E21" s="190">
        <f>COUNTIF('44ппа_САПР'!$O$3:$O$29,E12)</f>
        <v>7</v>
      </c>
      <c r="F21" s="190">
        <f>COUNTIF('44ппа_САПР'!$O$3:$O$29,F12)</f>
        <v>1</v>
      </c>
      <c r="G21" s="190">
        <f>COUNTIF('44ппа_САПР'!$O$3:$O$29,G12)</f>
        <v>1</v>
      </c>
      <c r="H21" s="190">
        <f>COUNTIF('44ппа_САПР'!$O$3:$O$29,H12)</f>
        <v>1</v>
      </c>
      <c r="I21" s="190">
        <f>COUNTIF('44ппа_САПР'!$O$3:$O$29,I12)</f>
        <v>0</v>
      </c>
      <c r="J21" s="190">
        <f>COUNTIF('44ппа_САПР'!$O$3:$O$29,J12)</f>
        <v>0</v>
      </c>
      <c r="K21" s="190">
        <f>COUNTIF('44ппа_САПР'!$O$3:$O$29,K12)</f>
        <v>0</v>
      </c>
      <c r="L21" s="190">
        <f>COUNTIF('44ппа_САПР'!$O$3:$O$29,L12)</f>
        <v>0</v>
      </c>
      <c r="M21" s="190">
        <f>COUNTIF('44ппа_САПР'!$O$3:$O$29,M12)</f>
        <v>0</v>
      </c>
      <c r="N21" s="191">
        <f>$A$21-SUM(C21:M21)</f>
        <v>0</v>
      </c>
      <c r="O21" s="192">
        <f>'44ппа_САПР'!O30</f>
        <v>8.5</v>
      </c>
      <c r="P21" s="193">
        <f>SUM(C21:I21)/$A$21</f>
        <v>1</v>
      </c>
      <c r="Q21" s="194">
        <f>SUM(C21:F21)/$A$21</f>
        <v>0.9230769230769231</v>
      </c>
    </row>
    <row r="22" spans="1:17" ht="12.75">
      <c r="A22" s="181" t="s">
        <v>209</v>
      </c>
      <c r="B22" s="182" t="s">
        <v>1</v>
      </c>
      <c r="C22" s="183">
        <f>COUNTIF('46ппа-1_ИТ'!$Q$3:$Q$15,C12)</f>
        <v>0</v>
      </c>
      <c r="D22" s="183">
        <f>COUNTIF('46ппа-1_ИТ'!$Q$3:$Q$15,D12)</f>
        <v>2</v>
      </c>
      <c r="E22" s="183">
        <f>COUNTIF('46ппа-1_ИТ'!$Q$3:$Q$15,E12)</f>
        <v>2</v>
      </c>
      <c r="F22" s="183">
        <f>COUNTIF('46ппа-1_ИТ'!$Q$3:$Q$15,F12)</f>
        <v>2</v>
      </c>
      <c r="G22" s="183">
        <f>COUNTIF('46ппа-1_ИТ'!$Q$3:$Q$15,G12)</f>
        <v>4</v>
      </c>
      <c r="H22" s="183">
        <f>COUNTIF('46ппа-1_ИТ'!$Q$3:$Q$15,H12)</f>
        <v>2</v>
      </c>
      <c r="I22" s="183">
        <f>COUNTIF('46ппа-1_ИТ'!$Q$3:$Q$15,I12)</f>
        <v>1</v>
      </c>
      <c r="J22" s="183">
        <f>COUNTIF('46ппа-1_ИТ'!$Q$3:$Q$15,J12)</f>
        <v>0</v>
      </c>
      <c r="K22" s="183">
        <f>COUNTIF('46ппа-1_ИТ'!$Q$3:$Q$15,K12)</f>
        <v>0</v>
      </c>
      <c r="L22" s="183">
        <f>COUNTIF('46ппа-1_ИТ'!$Q$3:$Q$15,L12)</f>
        <v>0</v>
      </c>
      <c r="M22" s="183">
        <f>COUNTIF('46ппа-1_ИТ'!$Q$3:$Q$15,M12)</f>
        <v>0</v>
      </c>
      <c r="N22" s="183">
        <f>$A$23-SUM(C22:M22)</f>
        <v>0</v>
      </c>
      <c r="O22" s="184">
        <f>'46ппа-1_ИТ'!Q16</f>
        <v>6.615384615384615</v>
      </c>
      <c r="P22" s="185">
        <f>SUM(C22:I22)/$A$23</f>
        <v>1</v>
      </c>
      <c r="Q22" s="186">
        <f>SUM(C22:F22)/$A$23</f>
        <v>0.46153846153846156</v>
      </c>
    </row>
    <row r="23" spans="1:17" ht="13.5" thickBot="1">
      <c r="A23" s="189">
        <f>'46ппа-1_ИТ'!B15</f>
        <v>13</v>
      </c>
      <c r="B23" s="190" t="s">
        <v>7</v>
      </c>
      <c r="C23" s="190">
        <f>COUNTIF('46ппа-1_ИТ'!$V$3:$V$15,C12)</f>
        <v>0</v>
      </c>
      <c r="D23" s="190">
        <f>COUNTIF('46ппа-1_ИТ'!$V$3:$V$15,D12)</f>
        <v>3</v>
      </c>
      <c r="E23" s="190">
        <f>COUNTIF('46ппа-1_ИТ'!$V$3:$V$15,E12)</f>
        <v>3</v>
      </c>
      <c r="F23" s="190">
        <f>COUNTIF('46ппа-1_ИТ'!$V$3:$V$15,F12)</f>
        <v>4</v>
      </c>
      <c r="G23" s="190">
        <f>COUNTIF('46ппа-1_ИТ'!$V$3:$V$15,G12)</f>
        <v>0</v>
      </c>
      <c r="H23" s="190">
        <f>COUNTIF('46ппа-1_ИТ'!$V$3:$V$15,H12)</f>
        <v>2</v>
      </c>
      <c r="I23" s="190">
        <f>COUNTIF('46ппа-1_ИТ'!$V$3:$V$15,I12)</f>
        <v>1</v>
      </c>
      <c r="J23" s="190">
        <f>COUNTIF('46ппа-1_ИТ'!$V$3:$V$15,J12)</f>
        <v>0</v>
      </c>
      <c r="K23" s="190">
        <f>COUNTIF('46ппа-1_ИТ'!$V$3:$V$15,K12)</f>
        <v>0</v>
      </c>
      <c r="L23" s="190">
        <f>COUNTIF('46ппа-1_ИТ'!$V$3:$V$15,L12)</f>
        <v>0</v>
      </c>
      <c r="M23" s="190">
        <f>COUNTIF('46ппа-1_ИТ'!$V$3:$V$15,M12)</f>
        <v>0</v>
      </c>
      <c r="N23" s="191">
        <f>$A$23-SUM(C23:M23)</f>
        <v>0</v>
      </c>
      <c r="O23" s="192">
        <f>'46ппа-1_ИТ'!V16</f>
        <v>7.153846153846154</v>
      </c>
      <c r="P23" s="193">
        <f>SUM(C23:I23)/$A$23</f>
        <v>1</v>
      </c>
      <c r="Q23" s="194">
        <f>SUM(C23:F23)/$A$23</f>
        <v>0.7692307692307693</v>
      </c>
    </row>
    <row r="24" spans="1:17" ht="12.75">
      <c r="A24" s="195" t="s">
        <v>147</v>
      </c>
      <c r="B24" s="196" t="s">
        <v>203</v>
      </c>
      <c r="C24" s="183">
        <f>COUNTIF('44ппа-1_Прогр'!$T$3:$T$15,C12)</f>
        <v>0</v>
      </c>
      <c r="D24" s="183">
        <f>COUNTIF('44ппа-1_Прогр'!$T$3:$T$15,D12)</f>
        <v>3</v>
      </c>
      <c r="E24" s="183">
        <f>COUNTIF('44ппа-1_Прогр'!$T$3:$T$15,E12)</f>
        <v>1</v>
      </c>
      <c r="F24" s="183">
        <f>COUNTIF('44ппа-1_Прогр'!$T$3:$T$15,F12)</f>
        <v>2</v>
      </c>
      <c r="G24" s="183">
        <f>COUNTIF('44ппа-1_Прогр'!$T$3:$T$15,G12)</f>
        <v>2</v>
      </c>
      <c r="H24" s="183">
        <f>COUNTIF('44ппа-1_Прогр'!$T$3:$T$15,H12)</f>
        <v>4</v>
      </c>
      <c r="I24" s="183">
        <f>COUNTIF('44ппа-1_Прогр'!$T$3:$T$15,I12)</f>
        <v>1</v>
      </c>
      <c r="J24" s="183">
        <f>COUNTIF('44ппа-1_Прогр'!$T$3:$T$15,J12)</f>
        <v>0</v>
      </c>
      <c r="K24" s="183">
        <f>COUNTIF('44ппа-1_Прогр'!$T$3:$T$15,K12)</f>
        <v>0</v>
      </c>
      <c r="L24" s="183">
        <f>COUNTIF('44ппа-1_Прогр'!$T$3:$T$15,L12)</f>
        <v>0</v>
      </c>
      <c r="M24" s="183">
        <f>COUNTIF('44ппа-1_Прогр'!$T$3:$T$15,M12)</f>
        <v>0</v>
      </c>
      <c r="N24" s="183">
        <f>$A$25-SUM(C24:M24)</f>
        <v>0</v>
      </c>
      <c r="O24" s="184">
        <f>'44ппа-1_Прогр'!T16</f>
        <v>6.538461538461538</v>
      </c>
      <c r="P24" s="185">
        <f>SUM(C24:I24)/$A$25</f>
        <v>1</v>
      </c>
      <c r="Q24" s="186">
        <f>SUM(C24:F24)/$A$25</f>
        <v>0.46153846153846156</v>
      </c>
    </row>
    <row r="25" spans="1:17" ht="13.5" thickBot="1">
      <c r="A25" s="189">
        <f>'44ппа-1_Прогр'!B15</f>
        <v>13</v>
      </c>
      <c r="B25" s="197" t="s">
        <v>7</v>
      </c>
      <c r="C25" s="190">
        <f>COUNTIF('44ппа-1_Прогр'!$V$3:$V$15,C12)</f>
        <v>0</v>
      </c>
      <c r="D25" s="190">
        <f>COUNTIF('44ппа-1_Прогр'!$V$3:$V$15,D12)</f>
        <v>1</v>
      </c>
      <c r="E25" s="190">
        <f>COUNTIF('44ппа-1_Прогр'!$V$3:$V$15,E12)</f>
        <v>1</v>
      </c>
      <c r="F25" s="190">
        <f>COUNTIF('44ппа-1_Прогр'!$V$3:$V$15,F12)</f>
        <v>5</v>
      </c>
      <c r="G25" s="190">
        <f>COUNTIF('44ппа-1_Прогр'!$V$3:$V$15,G12)</f>
        <v>6</v>
      </c>
      <c r="H25" s="190">
        <f>COUNTIF('44ппа-1_Прогр'!$V$3:$V$15,H12)</f>
        <v>0</v>
      </c>
      <c r="I25" s="190">
        <f>COUNTIF('44ппа-1_Прогр'!$V$3:$V$15,I12)</f>
        <v>0</v>
      </c>
      <c r="J25" s="190">
        <f>COUNTIF('44ппа-1_Прогр'!$V$3:$V$15,J12)</f>
        <v>0</v>
      </c>
      <c r="K25" s="190">
        <f>COUNTIF('44ппа-1_Прогр'!$V$3:$V$15,K12)</f>
        <v>0</v>
      </c>
      <c r="L25" s="190">
        <f>COUNTIF('44ппа-1_Прогр'!$V$3:$V$15,L12)</f>
        <v>0</v>
      </c>
      <c r="M25" s="190">
        <f>COUNTIF('44ппа-1_Прогр'!$V$3:$V$15,M12)</f>
        <v>0</v>
      </c>
      <c r="N25" s="191">
        <f>$A$25-SUM(C25:M25)</f>
        <v>0</v>
      </c>
      <c r="O25" s="192">
        <f>'44ппа-1_Прогр'!V16</f>
        <v>6.769230769230769</v>
      </c>
      <c r="P25" s="193">
        <f>SUM(C25:I25)/$A$25</f>
        <v>1</v>
      </c>
      <c r="Q25" s="194">
        <f>SUM(C25:F25)/$A$25</f>
        <v>0.5384615384615384</v>
      </c>
    </row>
    <row r="26" spans="1:17" ht="12.75">
      <c r="A26" s="195" t="s">
        <v>148</v>
      </c>
      <c r="B26" s="196" t="s">
        <v>203</v>
      </c>
      <c r="C26" s="183">
        <f>COUNTIF('45пп-1_Прогр'!$T$3:$T$12,C12)</f>
        <v>0</v>
      </c>
      <c r="D26" s="183">
        <f>COUNTIF('45пп-1_Прогр'!$T$3:$T$12,D12)</f>
        <v>1</v>
      </c>
      <c r="E26" s="183">
        <f>COUNTIF('45пп-1_Прогр'!$T$3:$T$12,E12)</f>
        <v>0</v>
      </c>
      <c r="F26" s="183">
        <f>COUNTIF('45пп-1_Прогр'!$T$3:$T$12,F12)</f>
        <v>0</v>
      </c>
      <c r="G26" s="183">
        <f>COUNTIF('45пп-1_Прогр'!$T$3:$T$12,G12)</f>
        <v>2</v>
      </c>
      <c r="H26" s="183">
        <f>COUNTIF('45пп-1_Прогр'!$T$3:$T$12,H12)</f>
        <v>3</v>
      </c>
      <c r="I26" s="183">
        <f>COUNTIF('45пп-1_Прогр'!$T$3:$T$12,I12)</f>
        <v>4</v>
      </c>
      <c r="J26" s="183">
        <f>COUNTIF('45пп-1_Прогр'!$T$3:$T$12,J12)</f>
        <v>0</v>
      </c>
      <c r="K26" s="183">
        <f>COUNTIF('45пп-1_Прогр'!$T$3:$T$12,K12)</f>
        <v>0</v>
      </c>
      <c r="L26" s="183">
        <f>COUNTIF('45пп-1_Прогр'!$T$3:$T$12,L12)</f>
        <v>0</v>
      </c>
      <c r="M26" s="183">
        <f>COUNTIF('45пп-1_Прогр'!$T$3:$T$12,M12)</f>
        <v>0</v>
      </c>
      <c r="N26" s="183">
        <f>$A$27-SUM(C26:M26)</f>
        <v>0</v>
      </c>
      <c r="O26" s="184">
        <f>'45пп-1_Прогр'!T13</f>
        <v>5.2</v>
      </c>
      <c r="P26" s="185">
        <f>SUM(C26:I26)/$A$27</f>
        <v>1</v>
      </c>
      <c r="Q26" s="186">
        <f>SUM(C26:F26)/$A$27</f>
        <v>0.1</v>
      </c>
    </row>
    <row r="27" spans="1:17" ht="13.5" thickBot="1">
      <c r="A27" s="189">
        <f>'45пп-1_Прогр'!B12</f>
        <v>10</v>
      </c>
      <c r="B27" s="197" t="s">
        <v>7</v>
      </c>
      <c r="C27" s="190">
        <f>COUNTIF('45пп-1_Прогр'!$V$3:$V$12,C12)</f>
        <v>0</v>
      </c>
      <c r="D27" s="190">
        <f>COUNTIF('45пп-1_Прогр'!$V$3:$V$12,D12)</f>
        <v>1</v>
      </c>
      <c r="E27" s="190">
        <f>COUNTIF('45пп-1_Прогр'!$V$3:$V$12,E12)</f>
        <v>0</v>
      </c>
      <c r="F27" s="190">
        <f>COUNTIF('45пп-1_Прогр'!$V$3:$V$12,F12)</f>
        <v>0</v>
      </c>
      <c r="G27" s="190">
        <f>COUNTIF('45пп-1_Прогр'!$V$3:$V$12,G12)</f>
        <v>1</v>
      </c>
      <c r="H27" s="190">
        <f>COUNTIF('45пп-1_Прогр'!$V$3:$V$12,H12)</f>
        <v>7</v>
      </c>
      <c r="I27" s="190">
        <f>COUNTIF('45пп-1_Прогр'!$V$3:$V$12,I12)</f>
        <v>1</v>
      </c>
      <c r="J27" s="190">
        <f>COUNTIF('45пп-1_Прогр'!$V$3:$V$12,J12)</f>
        <v>0</v>
      </c>
      <c r="K27" s="190">
        <f>COUNTIF('45пп-1_Прогр'!$V$3:$V$12,K12)</f>
        <v>0</v>
      </c>
      <c r="L27" s="190">
        <f>COUNTIF('45пп-1_Прогр'!$V$3:$V$12,L12)</f>
        <v>0</v>
      </c>
      <c r="M27" s="190">
        <f>COUNTIF('45пп-1_Прогр'!$V$3:$V$12,M12)</f>
        <v>0</v>
      </c>
      <c r="N27" s="191">
        <f>$A$27-SUM(C27:M27)</f>
        <v>0</v>
      </c>
      <c r="O27" s="192">
        <f>'45пп-1_Прогр'!V13</f>
        <v>5.4</v>
      </c>
      <c r="P27" s="193">
        <f>SUM(C27:I27)/$A$27</f>
        <v>1</v>
      </c>
      <c r="Q27" s="194">
        <f>SUM(C27:F27)/$A$27</f>
        <v>0.1</v>
      </c>
    </row>
    <row r="28" spans="1:17" ht="12.75">
      <c r="A28" s="195" t="s">
        <v>210</v>
      </c>
      <c r="B28" s="196" t="s">
        <v>1</v>
      </c>
      <c r="C28" s="183">
        <f>COUNTIF('46ппа-1_Прогр'!$P$3:$P$15,C12)</f>
        <v>0</v>
      </c>
      <c r="D28" s="183">
        <f>COUNTIF('46ппа-1_Прогр'!$P$3:$P$15,D12)</f>
        <v>0</v>
      </c>
      <c r="E28" s="183">
        <f>COUNTIF('46ппа-1_Прогр'!$P$3:$P$15,E12)</f>
        <v>2</v>
      </c>
      <c r="F28" s="183">
        <f>COUNTIF('46ппа-1_Прогр'!$P$3:$P$15,F12)</f>
        <v>1</v>
      </c>
      <c r="G28" s="183">
        <f>COUNTIF('46ппа-1_Прогр'!$P$3:$P$15,G12)</f>
        <v>4</v>
      </c>
      <c r="H28" s="183">
        <f>COUNTIF('46ппа-1_Прогр'!$P$3:$P$15,H12)</f>
        <v>2</v>
      </c>
      <c r="I28" s="183">
        <f>COUNTIF('46ппа-1_Прогр'!$P$3:$P$15,I12)</f>
        <v>4</v>
      </c>
      <c r="J28" s="183">
        <f>COUNTIF('46ппа-1_Прогр'!$P$3:$P$15,J12)</f>
        <v>0</v>
      </c>
      <c r="K28" s="183">
        <f>COUNTIF('46ппа-1_Прогр'!$P$3:$P$15,K12)</f>
        <v>0</v>
      </c>
      <c r="L28" s="183">
        <f>COUNTIF('46ппа-1_Прогр'!$P$3:$P$15,L12)</f>
        <v>0</v>
      </c>
      <c r="M28" s="183">
        <f>COUNTIF('46ппа-1_Прогр'!$P$3:$P$15,M12)</f>
        <v>0</v>
      </c>
      <c r="N28" s="183">
        <f>$A$29-SUM(C28:M28)</f>
        <v>0</v>
      </c>
      <c r="O28" s="184">
        <f>'46ппа-1_Прогр'!P16</f>
        <v>5.615384615384615</v>
      </c>
      <c r="P28" s="185">
        <f>SUM(C28:I28)/$A$29</f>
        <v>1</v>
      </c>
      <c r="Q28" s="186">
        <f>SUM(C28:F28)/$A$29</f>
        <v>0.23076923076923078</v>
      </c>
    </row>
    <row r="29" spans="1:17" ht="13.5" thickBot="1">
      <c r="A29" s="189">
        <f>'46ппа-1_Прогр'!B15</f>
        <v>13</v>
      </c>
      <c r="B29" s="197" t="s">
        <v>7</v>
      </c>
      <c r="C29" s="191">
        <f>COUNTIF('46ппа-1_Прогр'!$T$3:$T$15,C12)</f>
        <v>0</v>
      </c>
      <c r="D29" s="191">
        <f>COUNTIF('46ппа-1_Прогр'!$T$3:$T$15,D12)</f>
        <v>0</v>
      </c>
      <c r="E29" s="191">
        <f>COUNTIF('46ппа-1_Прогр'!$T$3:$T$15,E12)</f>
        <v>2</v>
      </c>
      <c r="F29" s="191">
        <f>COUNTIF('46ппа-1_Прогр'!$T$3:$T$15,F12)</f>
        <v>1</v>
      </c>
      <c r="G29" s="191">
        <f>COUNTIF('46ппа-1_Прогр'!$T$3:$T$15,G12)</f>
        <v>2</v>
      </c>
      <c r="H29" s="191">
        <f>COUNTIF('46ппа-1_Прогр'!$T$3:$T$15,H12)</f>
        <v>3</v>
      </c>
      <c r="I29" s="191">
        <f>COUNTIF('46ппа-1_Прогр'!$T$3:$T$15,I12)</f>
        <v>5</v>
      </c>
      <c r="J29" s="191">
        <f>COUNTIF('46ппа-1_Прогр'!$T$3:$T$15,J12)</f>
        <v>0</v>
      </c>
      <c r="K29" s="191">
        <f>COUNTIF('46ппа-1_Прогр'!$T$3:$T$15,K12)</f>
        <v>0</v>
      </c>
      <c r="L29" s="191">
        <f>COUNTIF('46ппа-1_Прогр'!$T$3:$T$15,L12)</f>
        <v>0</v>
      </c>
      <c r="M29" s="191">
        <f>COUNTIF('46ппа-1_Прогр'!$T$3:$T$15,M12)</f>
        <v>0</v>
      </c>
      <c r="N29" s="191">
        <f>$A$29-SUM(C29:M29)</f>
        <v>0</v>
      </c>
      <c r="O29" s="192">
        <f>'46ппа-1_Прогр'!T16</f>
        <v>5.384615384615385</v>
      </c>
      <c r="P29" s="193">
        <f>SUM(C29:I29)/$A$29</f>
        <v>1</v>
      </c>
      <c r="Q29" s="194">
        <f>SUM(C29:F29)/$A$29</f>
        <v>0.23076923076923078</v>
      </c>
    </row>
    <row r="30" spans="1:17" ht="12.75">
      <c r="A30" s="195" t="s">
        <v>149</v>
      </c>
      <c r="B30" s="196" t="s">
        <v>1</v>
      </c>
      <c r="C30" s="183">
        <f>COUNTIF('209ту-1_СК_ИТ'!$F$3:$F$13,C12)</f>
        <v>4</v>
      </c>
      <c r="D30" s="183">
        <f>COUNTIF('209ту-1_СК_ИТ'!$F$3:$F$13,D12)</f>
        <v>1</v>
      </c>
      <c r="E30" s="183">
        <f>COUNTIF('209ту-1_СК_ИТ'!$F$3:$F$13,E12)</f>
        <v>1</v>
      </c>
      <c r="F30" s="183">
        <f>COUNTIF('209ту-1_СК_ИТ'!$F$3:$F$13,F12)</f>
        <v>4</v>
      </c>
      <c r="G30" s="183">
        <f>COUNTIF('209ту-1_СК_ИТ'!$F$3:$F$13,G12)</f>
        <v>1</v>
      </c>
      <c r="H30" s="183">
        <f>COUNTIF('209ту-1_СК_ИТ'!$F$3:$F$13,H12)</f>
        <v>0</v>
      </c>
      <c r="I30" s="183">
        <f>COUNTIF('209ту-1_СК_ИТ'!$F$3:$F$13,I12)</f>
        <v>0</v>
      </c>
      <c r="J30" s="183">
        <f>COUNTIF('209ту-1_СК_ИТ'!$F$3:$F$13,J12)</f>
        <v>0</v>
      </c>
      <c r="K30" s="183">
        <f>COUNTIF('209ту-1_СК_ИТ'!$F$3:$F$13,K12)</f>
        <v>0</v>
      </c>
      <c r="L30" s="183">
        <f>COUNTIF('209ту-1_СК_ИТ'!$F$3:$F$13,L12)</f>
        <v>0</v>
      </c>
      <c r="M30" s="183">
        <f>COUNTIF('209ту-1_СК_ИТ'!$F$3:$F$13,M12)</f>
        <v>0</v>
      </c>
      <c r="N30" s="183">
        <f>$A$31-SUM(C30:M30)</f>
        <v>0</v>
      </c>
      <c r="O30" s="184">
        <f>'209ту-1_СК_ИТ'!F14</f>
        <v>8.272727272727273</v>
      </c>
      <c r="P30" s="185">
        <f>SUM(C30:I30)/$A$31</f>
        <v>1</v>
      </c>
      <c r="Q30" s="186">
        <f>SUM(C30:F30)/$A$31</f>
        <v>0.9090909090909091</v>
      </c>
    </row>
    <row r="31" spans="1:17" ht="13.5" thickBot="1">
      <c r="A31" s="189">
        <f>'209ту-1_СК_ИТ'!B13</f>
        <v>11</v>
      </c>
      <c r="B31" s="197" t="s">
        <v>7</v>
      </c>
      <c r="C31" s="190">
        <f>COUNTIF('209ту-1_СК_ИТ'!$Q$3:$Q$13,C12)</f>
        <v>1</v>
      </c>
      <c r="D31" s="190">
        <f>COUNTIF('209ту-1_СК_ИТ'!$Q$3:$Q$13,D12)</f>
        <v>2</v>
      </c>
      <c r="E31" s="190">
        <f>COUNTIF('209ту-1_СК_ИТ'!$Q$3:$Q$13,E12)</f>
        <v>4</v>
      </c>
      <c r="F31" s="190">
        <f>COUNTIF('209ту-1_СК_ИТ'!$Q$3:$Q$13,F12)</f>
        <v>1</v>
      </c>
      <c r="G31" s="190">
        <f>COUNTIF('209ту-1_СК_ИТ'!$Q$3:$Q$13,G12)</f>
        <v>2</v>
      </c>
      <c r="H31" s="190">
        <f>COUNTIF('209ту-1_СК_ИТ'!$Q$3:$Q$13,H12)</f>
        <v>1</v>
      </c>
      <c r="I31" s="190">
        <f>COUNTIF('209ту-1_СК_ИТ'!$Q$3:$Q$13,I12)</f>
        <v>0</v>
      </c>
      <c r="J31" s="190">
        <f>COUNTIF('209ту-1_СК_ИТ'!$Q$3:$Q$13,J12)</f>
        <v>0</v>
      </c>
      <c r="K31" s="190">
        <f>COUNTIF('209ту-1_СК_ИТ'!$Q$3:$Q$13,K12)</f>
        <v>0</v>
      </c>
      <c r="L31" s="190">
        <f>COUNTIF('209ту-1_СК_ИТ'!$Q$3:$Q$13,L12)</f>
        <v>0</v>
      </c>
      <c r="M31" s="190">
        <f>COUNTIF('209ту-1_СК_ИТ'!$Q$3:$Q$13,M12)</f>
        <v>0</v>
      </c>
      <c r="N31" s="191">
        <f>$A$31-SUM(C31:M31)</f>
        <v>0</v>
      </c>
      <c r="O31" s="192">
        <f>'209ту-1_СК_ИТ'!Q14</f>
        <v>7.636363636363637</v>
      </c>
      <c r="P31" s="193">
        <f>SUM(C31:I31)/$A$31</f>
        <v>1</v>
      </c>
      <c r="Q31" s="194">
        <f>SUM(C31:F31)/$A$31</f>
        <v>0.7272727272727273</v>
      </c>
    </row>
    <row r="32" spans="1:17" ht="12.75">
      <c r="A32" s="195" t="s">
        <v>150</v>
      </c>
      <c r="B32" s="196" t="s">
        <v>1</v>
      </c>
      <c r="C32" s="183">
        <f>COUNTIF('210тку-1_СК_ИТ'!$H$3:$H$12,C12)</f>
        <v>1</v>
      </c>
      <c r="D32" s="183">
        <f>COUNTIF('210тку-1_СК_ИТ'!$H$3:$H$12,D12)</f>
        <v>3</v>
      </c>
      <c r="E32" s="183">
        <f>COUNTIF('210тку-1_СК_ИТ'!$H$3:$H$12,E12)</f>
        <v>0</v>
      </c>
      <c r="F32" s="183">
        <f>COUNTIF('210тку-1_СК_ИТ'!$H$3:$H$12,F12)</f>
        <v>1</v>
      </c>
      <c r="G32" s="183">
        <f>COUNTIF('210тку-1_СК_ИТ'!$H$3:$H$12,G12)</f>
        <v>0</v>
      </c>
      <c r="H32" s="183">
        <f>COUNTIF('210тку-1_СК_ИТ'!$H$3:$H$12,H12)</f>
        <v>0</v>
      </c>
      <c r="I32" s="183">
        <f>COUNTIF('210тку-1_СК_ИТ'!$H$3:$H$12,I12)</f>
        <v>4</v>
      </c>
      <c r="J32" s="183">
        <f>COUNTIF('210тку-1_СК_ИТ'!$H$3:$H$12,J12)</f>
        <v>0</v>
      </c>
      <c r="K32" s="183">
        <f>COUNTIF('210тку-1_СК_ИТ'!$H$3:$H$12,K12)</f>
        <v>0</v>
      </c>
      <c r="L32" s="183">
        <f>COUNTIF('210тку-1_СК_ИТ'!$H$3:$H$12,L12)</f>
        <v>1</v>
      </c>
      <c r="M32" s="183">
        <f>COUNTIF('210тку-1_СК_ИТ'!$H$3:$H$12,M12)</f>
        <v>0</v>
      </c>
      <c r="N32" s="183">
        <f>$A$33-SUM(C32:M32)</f>
        <v>0</v>
      </c>
      <c r="O32" s="184">
        <f>'210тку-1_СК_ИТ'!H13</f>
        <v>6.1</v>
      </c>
      <c r="P32" s="185">
        <f>SUM(C32:I32)/$A$33</f>
        <v>0.9</v>
      </c>
      <c r="Q32" s="186">
        <f>SUM(C32:F32)/$A$33</f>
        <v>0.5</v>
      </c>
    </row>
    <row r="33" spans="1:17" ht="13.5" thickBot="1">
      <c r="A33" s="189">
        <f>'210тку-1_СК_ИТ'!B12</f>
        <v>10</v>
      </c>
      <c r="B33" s="197" t="s">
        <v>7</v>
      </c>
      <c r="C33" s="190">
        <f>COUNTIF('210тку-1_СК_ИТ'!$S$3:$S$12,C12)</f>
        <v>0</v>
      </c>
      <c r="D33" s="190">
        <f>COUNTIF('210тку-1_СК_ИТ'!$S$3:$S$12,D12)</f>
        <v>2</v>
      </c>
      <c r="E33" s="190">
        <f>COUNTIF('210тку-1_СК_ИТ'!$S$3:$S$12,E12)</f>
        <v>0</v>
      </c>
      <c r="F33" s="190">
        <f>COUNTIF('210тку-1_СК_ИТ'!$S$3:$S$12,F12)</f>
        <v>2</v>
      </c>
      <c r="G33" s="190">
        <f>COUNTIF('210тку-1_СК_ИТ'!$S$3:$S$12,G12)</f>
        <v>1</v>
      </c>
      <c r="H33" s="190">
        <f>COUNTIF('210тку-1_СК_ИТ'!$S$3:$S$12,H12)</f>
        <v>1</v>
      </c>
      <c r="I33" s="190">
        <f>COUNTIF('210тку-1_СК_ИТ'!$S$3:$S$12,I12)</f>
        <v>2</v>
      </c>
      <c r="J33" s="190">
        <f>COUNTIF('210тку-1_СК_ИТ'!$S$3:$S$12,J12)</f>
        <v>0</v>
      </c>
      <c r="K33" s="190">
        <f>COUNTIF('210тку-1_СК_ИТ'!$S$3:$S$12,K12)</f>
        <v>0</v>
      </c>
      <c r="L33" s="190">
        <f>COUNTIF('210тку-1_СК_ИТ'!$S$3:$S$12,L12)</f>
        <v>0</v>
      </c>
      <c r="M33" s="190">
        <f>COUNTIF('210тку-1_СК_ИТ'!$S$3:$S$12,M12)</f>
        <v>2</v>
      </c>
      <c r="N33" s="191">
        <f>$A$33-SUM(C33:M33)</f>
        <v>0</v>
      </c>
      <c r="O33" s="192">
        <f>'210тку-1_СК_ИТ'!S13</f>
        <v>5.1</v>
      </c>
      <c r="P33" s="193">
        <f>SUM(C33:I33)/$A$33</f>
        <v>0.8</v>
      </c>
      <c r="Q33" s="194">
        <f>SUM(C33:F33)/$A$33</f>
        <v>0.4</v>
      </c>
    </row>
    <row r="34" spans="1:17" ht="13.5" thickBot="1">
      <c r="A34" s="198" t="s">
        <v>20</v>
      </c>
      <c r="B34" s="199">
        <f>SUM(A14:A33)</f>
        <v>144</v>
      </c>
      <c r="C34" s="199">
        <f>SUM(C16,C19,C21,C23,C25,C27,C29,C31,C33)</f>
        <v>10</v>
      </c>
      <c r="D34" s="199">
        <f aca="true" t="shared" si="0" ref="D34:M34">SUM(D16,D19,D21,D23,D25,D27,D29,D31,D33)</f>
        <v>35</v>
      </c>
      <c r="E34" s="199">
        <f t="shared" si="0"/>
        <v>23</v>
      </c>
      <c r="F34" s="199">
        <f t="shared" si="0"/>
        <v>20</v>
      </c>
      <c r="G34" s="199">
        <f t="shared" si="0"/>
        <v>17</v>
      </c>
      <c r="H34" s="199">
        <f t="shared" si="0"/>
        <v>18</v>
      </c>
      <c r="I34" s="199">
        <f t="shared" si="0"/>
        <v>19</v>
      </c>
      <c r="J34" s="199">
        <f t="shared" si="0"/>
        <v>0</v>
      </c>
      <c r="K34" s="199">
        <f t="shared" si="0"/>
        <v>0</v>
      </c>
      <c r="L34" s="199">
        <f t="shared" si="0"/>
        <v>0</v>
      </c>
      <c r="M34" s="199">
        <f t="shared" si="0"/>
        <v>2</v>
      </c>
      <c r="N34" s="199">
        <f>$B$34-SUM(C34:M34)</f>
        <v>0</v>
      </c>
      <c r="O34" s="200">
        <f>AVERAGE(O16,O19,O21,O23,O25,O27,O29,O31,O33)</f>
        <v>6.715716360933752</v>
      </c>
      <c r="P34" s="201">
        <f>SUM(C34:I34)/$B$34</f>
        <v>0.9861111111111112</v>
      </c>
      <c r="Q34" s="202">
        <f>SUM(C34:F34)/$B$34</f>
        <v>0.6111111111111112</v>
      </c>
    </row>
    <row r="36" spans="1:15" ht="12.75">
      <c r="A36" s="22" t="s">
        <v>14</v>
      </c>
      <c r="B36" s="23">
        <f ca="1">TODAY()</f>
        <v>42180</v>
      </c>
      <c r="N36" s="22" t="s">
        <v>15</v>
      </c>
      <c r="O36" s="15" t="s">
        <v>16</v>
      </c>
    </row>
    <row r="38" spans="1:13" ht="12.75">
      <c r="A38" s="1" t="s">
        <v>39</v>
      </c>
      <c r="B38" s="52">
        <f>C34+D34</f>
        <v>45</v>
      </c>
      <c r="C38" s="267" t="s">
        <v>25</v>
      </c>
      <c r="D38" s="267"/>
      <c r="J38" s="267" t="s">
        <v>27</v>
      </c>
      <c r="K38" s="267"/>
      <c r="L38" s="53"/>
      <c r="M38" s="53"/>
    </row>
    <row r="39" spans="1:16" ht="12.75">
      <c r="A39" s="1" t="s">
        <v>40</v>
      </c>
      <c r="B39" s="52">
        <f>E34+F34</f>
        <v>43</v>
      </c>
      <c r="C39" s="12" t="s">
        <v>24</v>
      </c>
      <c r="D39" s="257" t="s">
        <v>23</v>
      </c>
      <c r="E39" s="257"/>
      <c r="F39" s="257" t="s">
        <v>26</v>
      </c>
      <c r="G39" s="257"/>
      <c r="H39" s="257"/>
      <c r="J39" s="12" t="s">
        <v>24</v>
      </c>
      <c r="K39" s="257" t="s">
        <v>23</v>
      </c>
      <c r="L39" s="257"/>
      <c r="M39" s="257"/>
      <c r="N39" s="257"/>
      <c r="O39" s="257" t="s">
        <v>26</v>
      </c>
      <c r="P39" s="257"/>
    </row>
    <row r="40" spans="1:16" ht="12.75">
      <c r="A40" s="1" t="s">
        <v>41</v>
      </c>
      <c r="B40" s="52">
        <f>SUM(G34:I34)</f>
        <v>54</v>
      </c>
      <c r="C40" s="38">
        <f>MAX('23в-1_ПО'!U3:U25)</f>
        <v>8.875</v>
      </c>
      <c r="D40" s="261" t="str">
        <f>A14</f>
        <v>23в-1 ПО</v>
      </c>
      <c r="E40" s="261"/>
      <c r="F40" s="254" t="str">
        <f>VLOOKUP(C40,'23в-1_ПО'!A3:C25,3,0)</f>
        <v>Вербицкий Максим</v>
      </c>
      <c r="G40" s="255"/>
      <c r="H40" s="256"/>
      <c r="J40" s="44">
        <f>MIN('23в-1_ПО'!U3:U25)</f>
        <v>6.1</v>
      </c>
      <c r="K40" s="254" t="str">
        <f aca="true" t="shared" si="1" ref="K40:K48">D40</f>
        <v>23в-1 ПО</v>
      </c>
      <c r="L40" s="255"/>
      <c r="M40" s="255"/>
      <c r="N40" s="256"/>
      <c r="O40" s="262" t="str">
        <f>VLOOKUP(J40,'23в-1_ПО'!A3:C25,3,0)</f>
        <v>Микишко Роман</v>
      </c>
      <c r="P40" s="263"/>
    </row>
    <row r="41" spans="1:16" ht="12.75">
      <c r="A41" s="1" t="s">
        <v>42</v>
      </c>
      <c r="B41" s="52">
        <f>SUM(J34:M34)</f>
        <v>2</v>
      </c>
      <c r="C41" s="38">
        <f>MAX('44ппа_САПР'!N3:N29)</f>
        <v>9.5</v>
      </c>
      <c r="D41" s="254" t="str">
        <f>A20</f>
        <v>44ппа САПР</v>
      </c>
      <c r="E41" s="256"/>
      <c r="F41" s="254" t="str">
        <f>VLOOKUP(C41,'44ппа_САПР'!A3:C29,3,0)</f>
        <v>Конон Александр</v>
      </c>
      <c r="G41" s="255"/>
      <c r="H41" s="256"/>
      <c r="J41" s="44">
        <f>MIN('44ппа_САПР'!N3:N29)</f>
        <v>4.714285714285714</v>
      </c>
      <c r="K41" s="254" t="str">
        <f t="shared" si="1"/>
        <v>44ппа САПР</v>
      </c>
      <c r="L41" s="255"/>
      <c r="M41" s="255"/>
      <c r="N41" s="256"/>
      <c r="O41" s="262" t="str">
        <f>VLOOKUP(J41,'44ппа_САПР'!A3:C29,3,0)</f>
        <v>Станкуть Кирилл</v>
      </c>
      <c r="P41" s="263"/>
    </row>
    <row r="42" spans="1:16" ht="12.75">
      <c r="A42" s="1" t="s">
        <v>43</v>
      </c>
      <c r="B42" s="52">
        <f>N34</f>
        <v>0</v>
      </c>
      <c r="C42" s="38">
        <f>MAX('24вк-1_ПО'!Y3:Y27)</f>
        <v>9</v>
      </c>
      <c r="D42" s="261" t="str">
        <f>A17</f>
        <v>24вк-1 ПО</v>
      </c>
      <c r="E42" s="261"/>
      <c r="F42" s="254" t="str">
        <f>VLOOKUP(C42,'24вк-1_ПО'!A3:C27,3,0)</f>
        <v>Голец Владимир</v>
      </c>
      <c r="G42" s="255"/>
      <c r="H42" s="256"/>
      <c r="J42" s="44">
        <f>MIN('24вк-1_ПО'!Y3:Y27)</f>
        <v>3.5</v>
      </c>
      <c r="K42" s="254" t="str">
        <f t="shared" si="1"/>
        <v>24вк-1 ПО</v>
      </c>
      <c r="L42" s="255"/>
      <c r="M42" s="255"/>
      <c r="N42" s="256"/>
      <c r="O42" s="262" t="str">
        <f>VLOOKUP(J42,'24вк-1_ПО'!A3:C27,3,0)</f>
        <v>Валюк Максим</v>
      </c>
      <c r="P42" s="263"/>
    </row>
    <row r="43" spans="3:16" ht="12.75">
      <c r="C43" s="38">
        <f>MAX('46ппа-1_ИТ'!U3:U15)</f>
        <v>8.625</v>
      </c>
      <c r="D43" s="254" t="str">
        <f>A22</f>
        <v>46ппа-1 ИТ</v>
      </c>
      <c r="E43" s="256"/>
      <c r="F43" s="254" t="str">
        <f>VLOOKUP(C43,'46ппа-1_ИТ'!A3:C15,3,0)</f>
        <v>Гончарёнок Евгений</v>
      </c>
      <c r="G43" s="255"/>
      <c r="H43" s="256"/>
      <c r="J43" s="44">
        <f>MIN('46ппа-1_ИТ'!U3:U15)</f>
        <v>3.909090909090909</v>
      </c>
      <c r="K43" s="50" t="str">
        <f t="shared" si="1"/>
        <v>46ппа-1 ИТ</v>
      </c>
      <c r="L43" s="79"/>
      <c r="M43" s="79"/>
      <c r="N43" s="51"/>
      <c r="O43" s="262" t="str">
        <f>VLOOKUP(J43,'46ппа-1_ИТ'!A3:C15,3,0)</f>
        <v>Карпович Дмитрий</v>
      </c>
      <c r="P43" s="263"/>
    </row>
    <row r="44" spans="3:16" ht="12.75">
      <c r="C44" s="38">
        <f>MAX('44ппа-1_Прогр'!U3:U15)</f>
        <v>8.5</v>
      </c>
      <c r="D44" s="261" t="str">
        <f>A24</f>
        <v>44ппа-1 Прогр.</v>
      </c>
      <c r="E44" s="261"/>
      <c r="F44" s="254" t="str">
        <f>VLOOKUP(C44,'44ппа-1_Прогр'!A3:C15,3,0)</f>
        <v>Богдевич Игорь</v>
      </c>
      <c r="G44" s="255"/>
      <c r="H44" s="256"/>
      <c r="J44" s="44">
        <f>MIN('44ппа-1_Прогр'!U3:U15)</f>
        <v>5.444444444444445</v>
      </c>
      <c r="K44" s="254" t="str">
        <f t="shared" si="1"/>
        <v>44ппа-1 Прогр.</v>
      </c>
      <c r="L44" s="255"/>
      <c r="M44" s="255"/>
      <c r="N44" s="256"/>
      <c r="O44" s="262" t="str">
        <f>VLOOKUP(J44,'44ппа-1_Прогр'!A3:C15,3,0)</f>
        <v>Качура Максим</v>
      </c>
      <c r="P44" s="263"/>
    </row>
    <row r="45" spans="3:16" ht="12.75">
      <c r="C45" s="38">
        <f>MAX('45пп-1_Прогр'!A3:A12)</f>
        <v>9.125</v>
      </c>
      <c r="D45" s="254" t="str">
        <f>A26</f>
        <v>45пп-1 Прогр.</v>
      </c>
      <c r="E45" s="256"/>
      <c r="F45" s="254" t="str">
        <f>VLOOKUP(C45,'45пп-1_Прогр'!A3:C12,3,0)</f>
        <v>Белов Иван</v>
      </c>
      <c r="G45" s="255"/>
      <c r="H45" s="256"/>
      <c r="J45" s="44">
        <f>MIN('45пп-1_Прогр'!A3:A12)</f>
        <v>3.5</v>
      </c>
      <c r="K45" s="254" t="str">
        <f t="shared" si="1"/>
        <v>45пп-1 Прогр.</v>
      </c>
      <c r="L45" s="255"/>
      <c r="M45" s="255"/>
      <c r="N45" s="256"/>
      <c r="O45" s="262" t="str">
        <f>VLOOKUP(J45,'45пп-1_Прогр'!A3:C12,3,0)</f>
        <v>Ильченко Алеся</v>
      </c>
      <c r="P45" s="263"/>
    </row>
    <row r="46" spans="3:16" ht="12.75">
      <c r="C46" s="38">
        <f>MAX('46ппа-1_Прогр'!S3:S15)</f>
        <v>7.777777777777778</v>
      </c>
      <c r="D46" s="254" t="str">
        <f>A28</f>
        <v>46ппа-1 Прогр.</v>
      </c>
      <c r="E46" s="256"/>
      <c r="F46" s="254" t="str">
        <f>VLOOKUP(C46,'46ппа-1_Прогр'!A3:C15,3,0)</f>
        <v>Бернацкий Алексей</v>
      </c>
      <c r="G46" s="255"/>
      <c r="H46" s="256"/>
      <c r="J46" s="44">
        <f>MIN('46ппа-1_Прогр'!S3:S15)</f>
        <v>3.6153846153846154</v>
      </c>
      <c r="K46" s="254" t="str">
        <f t="shared" si="1"/>
        <v>46ппа-1 Прогр.</v>
      </c>
      <c r="L46" s="255"/>
      <c r="M46" s="255"/>
      <c r="N46" s="256"/>
      <c r="O46" s="262" t="str">
        <f>VLOOKUP(J46,'46ппа-1_Прогр'!A3:C15,3,0)</f>
        <v>Карпович Дмитрий</v>
      </c>
      <c r="P46" s="263"/>
    </row>
    <row r="47" spans="3:16" ht="12.75">
      <c r="C47" s="38">
        <f>MAX('209ту-1_СК_ИТ'!A3:A13)</f>
        <v>9.428571428571429</v>
      </c>
      <c r="D47" s="254" t="str">
        <f>A30</f>
        <v>209ту-1 СК ИТ</v>
      </c>
      <c r="E47" s="256"/>
      <c r="F47" s="254" t="str">
        <f>VLOOKUP(C47,'209ту-1_СК_ИТ'!A3:C13,3,0)</f>
        <v>Орловский Максим</v>
      </c>
      <c r="G47" s="255"/>
      <c r="H47" s="256"/>
      <c r="J47" s="44">
        <f>MIN('209ту-1_СК_ИТ'!A3:A13)</f>
        <v>5.25</v>
      </c>
      <c r="K47" s="254" t="str">
        <f t="shared" si="1"/>
        <v>209ту-1 СК ИТ</v>
      </c>
      <c r="L47" s="255"/>
      <c r="M47" s="255"/>
      <c r="N47" s="256"/>
      <c r="O47" s="262" t="str">
        <f>VLOOKUP(J47,'209ту-1_СК_ИТ'!A3:C13,3,0)</f>
        <v>Богдель Вадим</v>
      </c>
      <c r="P47" s="263"/>
    </row>
    <row r="48" spans="3:16" ht="12.75">
      <c r="C48" s="38">
        <f>MAX('210тку-1_СК_ИТ'!R3:R14)</f>
        <v>8.714285714285714</v>
      </c>
      <c r="D48" s="50" t="str">
        <f>A32</f>
        <v>210тку-1 СК ИТ</v>
      </c>
      <c r="E48" s="51"/>
      <c r="F48" s="254" t="str">
        <f>VLOOKUP(C48,'210тку-1_СК_ИТ'!A3:C14,3,0)</f>
        <v>Дашкевич Евгений</v>
      </c>
      <c r="G48" s="255"/>
      <c r="H48" s="256"/>
      <c r="J48" s="44">
        <f>MIN('210тку-1_СК_ИТ'!R3:R14)</f>
        <v>1.5</v>
      </c>
      <c r="K48" s="254" t="str">
        <f t="shared" si="1"/>
        <v>210тку-1 СК ИТ</v>
      </c>
      <c r="L48" s="255"/>
      <c r="M48" s="255"/>
      <c r="N48" s="256"/>
      <c r="O48" s="262" t="str">
        <f>VLOOKUP(J48,'210тку-1_СК_ИТ'!A3:C14,3,0)</f>
        <v>Блажевич Денис</v>
      </c>
      <c r="P48" s="263"/>
    </row>
    <row r="49" spans="2:18" ht="12.75">
      <c r="B49" s="39" t="s">
        <v>28</v>
      </c>
      <c r="C49" s="43">
        <f>MAX(C40:C48)</f>
        <v>9.5</v>
      </c>
      <c r="D49" s="272" t="str">
        <f>VLOOKUP(C49,C40:E48,2,0)</f>
        <v>44ппа САПР</v>
      </c>
      <c r="E49" s="273"/>
      <c r="F49" s="40" t="str">
        <f>VLOOKUP(C49,C40:H48,4,0)</f>
        <v>Конон Александр</v>
      </c>
      <c r="G49" s="41"/>
      <c r="H49" s="42"/>
      <c r="J49" s="45">
        <f>MIN(J40:J48)</f>
        <v>1.5</v>
      </c>
      <c r="K49" s="269" t="str">
        <f>VLOOKUP(J49,J40:N48,2,0)</f>
        <v>210тку-1 СК ИТ</v>
      </c>
      <c r="L49" s="271"/>
      <c r="M49" s="271"/>
      <c r="N49" s="270"/>
      <c r="O49" s="269" t="str">
        <f>VLOOKUP(J49,J40:P48,6,0)</f>
        <v>Блажевич Денис</v>
      </c>
      <c r="P49" s="270"/>
      <c r="Q49" s="46" t="s">
        <v>29</v>
      </c>
      <c r="R49" s="29"/>
    </row>
  </sheetData>
  <sheetProtection/>
  <mergeCells count="50">
    <mergeCell ref="D47:E47"/>
    <mergeCell ref="K47:N47"/>
    <mergeCell ref="F45:H45"/>
    <mergeCell ref="F47:H47"/>
    <mergeCell ref="D46:E46"/>
    <mergeCell ref="K45:N45"/>
    <mergeCell ref="D45:E45"/>
    <mergeCell ref="D49:E49"/>
    <mergeCell ref="F39:H39"/>
    <mergeCell ref="F40:H40"/>
    <mergeCell ref="F42:H42"/>
    <mergeCell ref="F44:H44"/>
    <mergeCell ref="F48:H48"/>
    <mergeCell ref="F46:H46"/>
    <mergeCell ref="D44:E44"/>
    <mergeCell ref="D43:E43"/>
    <mergeCell ref="D41:E41"/>
    <mergeCell ref="O46:P46"/>
    <mergeCell ref="O49:P49"/>
    <mergeCell ref="K44:N44"/>
    <mergeCell ref="K49:N49"/>
    <mergeCell ref="O48:P48"/>
    <mergeCell ref="K48:N48"/>
    <mergeCell ref="O45:P45"/>
    <mergeCell ref="O47:P47"/>
    <mergeCell ref="K46:N46"/>
    <mergeCell ref="O44:P44"/>
    <mergeCell ref="A5:D5"/>
    <mergeCell ref="A6:D6"/>
    <mergeCell ref="A7:D7"/>
    <mergeCell ref="O41:P41"/>
    <mergeCell ref="A9:D9"/>
    <mergeCell ref="C38:D38"/>
    <mergeCell ref="J38:K38"/>
    <mergeCell ref="E5:G5"/>
    <mergeCell ref="D40:E40"/>
    <mergeCell ref="K40:N40"/>
    <mergeCell ref="O43:P43"/>
    <mergeCell ref="F43:H43"/>
    <mergeCell ref="O42:P42"/>
    <mergeCell ref="K42:N42"/>
    <mergeCell ref="A8:D8"/>
    <mergeCell ref="O39:P39"/>
    <mergeCell ref="A10:D10"/>
    <mergeCell ref="D42:E42"/>
    <mergeCell ref="K41:N41"/>
    <mergeCell ref="F41:H41"/>
    <mergeCell ref="D39:E39"/>
    <mergeCell ref="K39:N39"/>
    <mergeCell ref="O40:P40"/>
  </mergeCells>
  <printOptions/>
  <pageMargins left="0.74" right="0.1968503937007874" top="0.8" bottom="0.43" header="0.31496062992125984" footer="0.31496062992125984"/>
  <pageSetup fitToHeight="1" fitToWidth="1" horizontalDpi="300" verticalDpi="300" orientation="landscape" paperSize="9" scale="82" r:id="rId1"/>
  <ignoredErrors>
    <ignoredError sqref="N2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C7">
      <selection activeCell="E68" sqref="E68"/>
    </sheetView>
  </sheetViews>
  <sheetFormatPr defaultColWidth="9.00390625" defaultRowHeight="12.75"/>
  <cols>
    <col min="3" max="3" width="11.625" style="0" customWidth="1"/>
  </cols>
  <sheetData>
    <row r="1" ht="12.75">
      <c r="A1" s="5" t="s">
        <v>44</v>
      </c>
    </row>
    <row r="44" spans="1:3" ht="12.75">
      <c r="A44" s="12" t="s">
        <v>7</v>
      </c>
      <c r="B44" s="12" t="s">
        <v>24</v>
      </c>
      <c r="C44" s="12" t="s">
        <v>45</v>
      </c>
    </row>
    <row r="45" spans="1:3" ht="12.75">
      <c r="A45" s="1" t="s">
        <v>52</v>
      </c>
      <c r="B45" s="44">
        <v>6.59</v>
      </c>
      <c r="C45" s="47">
        <v>0.54</v>
      </c>
    </row>
    <row r="46" spans="1:3" ht="12.75">
      <c r="A46" s="1" t="s">
        <v>53</v>
      </c>
      <c r="B46" s="44">
        <v>7.21</v>
      </c>
      <c r="C46" s="47">
        <v>0.68</v>
      </c>
    </row>
    <row r="47" spans="1:3" ht="12.75">
      <c r="A47" s="1" t="s">
        <v>54</v>
      </c>
      <c r="B47" s="44">
        <v>7.03</v>
      </c>
      <c r="C47" s="47">
        <v>0.66</v>
      </c>
    </row>
    <row r="48" spans="1:3" ht="12.75">
      <c r="A48" s="1" t="s">
        <v>55</v>
      </c>
      <c r="B48" s="44">
        <v>6.95</v>
      </c>
      <c r="C48" s="47">
        <v>0.6</v>
      </c>
    </row>
    <row r="49" spans="1:3" ht="12.75">
      <c r="A49" s="1" t="s">
        <v>56</v>
      </c>
      <c r="B49" s="44">
        <v>7.42</v>
      </c>
      <c r="C49" s="47">
        <v>0.71</v>
      </c>
    </row>
    <row r="50" spans="1:3" ht="12.75">
      <c r="A50" s="1" t="s">
        <v>57</v>
      </c>
      <c r="B50" s="44">
        <v>7.16</v>
      </c>
      <c r="C50" s="47">
        <v>0.65</v>
      </c>
    </row>
    <row r="51" spans="1:3" ht="12.75">
      <c r="A51" s="1" t="s">
        <v>58</v>
      </c>
      <c r="B51" s="44">
        <v>7.5</v>
      </c>
      <c r="C51" s="47">
        <v>0.58</v>
      </c>
    </row>
    <row r="52" spans="1:3" ht="12.75">
      <c r="A52" s="1" t="s">
        <v>59</v>
      </c>
      <c r="B52" s="44">
        <v>7.14</v>
      </c>
      <c r="C52" s="47">
        <v>0.68</v>
      </c>
    </row>
    <row r="53" spans="1:3" ht="12.75">
      <c r="A53" s="1" t="s">
        <v>60</v>
      </c>
      <c r="B53" s="44">
        <v>6.29</v>
      </c>
      <c r="C53" s="47">
        <v>0.46</v>
      </c>
    </row>
    <row r="54" spans="1:3" ht="12.75">
      <c r="A54" s="1" t="s">
        <v>71</v>
      </c>
      <c r="B54" s="44">
        <v>7.18423254985755</v>
      </c>
      <c r="C54" s="47">
        <v>0.6214285714285714</v>
      </c>
    </row>
    <row r="55" spans="1:3" ht="12.75">
      <c r="A55" s="49" t="s">
        <v>72</v>
      </c>
      <c r="B55" s="44">
        <v>6.52</v>
      </c>
      <c r="C55" s="47">
        <v>0.52</v>
      </c>
    </row>
    <row r="56" spans="1:3" ht="12.75">
      <c r="A56" s="49" t="s">
        <v>85</v>
      </c>
      <c r="B56" s="44">
        <v>7.24</v>
      </c>
      <c r="C56" s="47">
        <v>0.7</v>
      </c>
    </row>
    <row r="57" spans="1:3" ht="12.75">
      <c r="A57" s="49" t="s">
        <v>86</v>
      </c>
      <c r="B57" s="44">
        <v>7.28</v>
      </c>
      <c r="C57" s="47">
        <v>0.69</v>
      </c>
    </row>
    <row r="58" spans="1:3" ht="12.75">
      <c r="A58" s="49" t="s">
        <v>151</v>
      </c>
      <c r="B58" s="44">
        <v>6.17</v>
      </c>
      <c r="C58" s="47">
        <v>0.4</v>
      </c>
    </row>
    <row r="59" spans="1:3" ht="12.75">
      <c r="A59" s="49" t="s">
        <v>177</v>
      </c>
      <c r="B59" s="44">
        <v>6.69</v>
      </c>
      <c r="C59" s="47">
        <v>0.6</v>
      </c>
    </row>
    <row r="60" spans="1:3" ht="12.75">
      <c r="A60" s="49" t="s">
        <v>211</v>
      </c>
      <c r="B60" s="44">
        <f>Отчет!O34</f>
        <v>6.715716360933752</v>
      </c>
      <c r="C60" s="47">
        <f>Отчет!Q34</f>
        <v>0.6111111111111112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zoomScale="85" zoomScaleNormal="85" workbookViewId="0" topLeftCell="B19">
      <selection activeCell="AB34" sqref="AB34"/>
    </sheetView>
  </sheetViews>
  <sheetFormatPr defaultColWidth="9.00390625" defaultRowHeight="12.75"/>
  <cols>
    <col min="1" max="1" width="5.75390625" style="0" hidden="1" customWidth="1"/>
    <col min="2" max="2" width="3.375" style="0" bestFit="1" customWidth="1"/>
    <col min="3" max="3" width="23.00390625" style="0" customWidth="1"/>
    <col min="4" max="4" width="8.875" style="0" customWidth="1"/>
    <col min="5" max="6" width="5.75390625" style="0" customWidth="1"/>
    <col min="7" max="8" width="5.125" style="0" customWidth="1"/>
    <col min="9" max="10" width="5.75390625" style="0" customWidth="1"/>
    <col min="11" max="14" width="6.125" style="0" customWidth="1"/>
    <col min="15" max="15" width="5.875" style="0" customWidth="1"/>
    <col min="16" max="17" width="5.75390625" style="0" customWidth="1"/>
    <col min="18" max="18" width="6.125" style="0" customWidth="1"/>
    <col min="19" max="19" width="6.375" style="0" customWidth="1"/>
    <col min="20" max="20" width="6.625" style="14" customWidth="1"/>
    <col min="21" max="22" width="6.125" style="14" customWidth="1"/>
    <col min="23" max="23" width="6.375" style="14" customWidth="1"/>
    <col min="24" max="24" width="6.875" style="14" customWidth="1"/>
    <col min="25" max="25" width="10.75390625" style="3" bestFit="1" customWidth="1"/>
    <col min="26" max="26" width="9.125" style="10" customWidth="1"/>
  </cols>
  <sheetData>
    <row r="1" spans="3:28" ht="13.5" thickBot="1">
      <c r="C1" s="239" t="s">
        <v>99</v>
      </c>
      <c r="D1" s="239"/>
      <c r="E1" s="239"/>
      <c r="F1" s="239"/>
      <c r="G1" s="239"/>
      <c r="H1" s="239"/>
      <c r="I1" s="239"/>
      <c r="J1" s="62"/>
      <c r="K1" s="62"/>
      <c r="L1" s="62"/>
      <c r="M1" s="62"/>
      <c r="N1" s="62"/>
      <c r="O1" s="62"/>
      <c r="P1" s="62"/>
      <c r="Q1" s="62"/>
      <c r="R1" s="62"/>
      <c r="S1" s="62"/>
      <c r="T1" s="64"/>
      <c r="U1" s="64"/>
      <c r="V1" s="63"/>
      <c r="W1" s="63"/>
      <c r="X1" s="63"/>
      <c r="Y1"/>
      <c r="Z1"/>
      <c r="AA1" s="14"/>
      <c r="AB1" s="15"/>
    </row>
    <row r="2" spans="2:29" ht="16.5" customHeight="1" thickBot="1">
      <c r="B2" s="58" t="s">
        <v>73</v>
      </c>
      <c r="C2" s="55" t="s">
        <v>26</v>
      </c>
      <c r="D2" s="56" t="s">
        <v>74</v>
      </c>
      <c r="E2" s="81">
        <v>42025</v>
      </c>
      <c r="F2" s="82">
        <v>42027</v>
      </c>
      <c r="G2" s="81">
        <v>42034</v>
      </c>
      <c r="H2" s="127">
        <v>42039</v>
      </c>
      <c r="I2" s="82">
        <v>42041</v>
      </c>
      <c r="J2" s="81">
        <v>42048</v>
      </c>
      <c r="K2" s="82">
        <v>42053</v>
      </c>
      <c r="L2" s="127">
        <v>42062</v>
      </c>
      <c r="M2" s="82">
        <v>42067</v>
      </c>
      <c r="N2" s="127">
        <v>42074</v>
      </c>
      <c r="O2" s="82">
        <v>42076</v>
      </c>
      <c r="P2" s="81">
        <v>42083</v>
      </c>
      <c r="Q2" s="82">
        <v>42088</v>
      </c>
      <c r="R2" s="81">
        <v>42089</v>
      </c>
      <c r="S2" s="125">
        <v>42090</v>
      </c>
      <c r="T2" s="81">
        <v>42097</v>
      </c>
      <c r="U2" s="82">
        <v>42109</v>
      </c>
      <c r="V2" s="127">
        <v>42111</v>
      </c>
      <c r="W2" s="82">
        <v>42116</v>
      </c>
      <c r="X2" s="82">
        <v>42128</v>
      </c>
      <c r="Y2" s="59" t="s">
        <v>24</v>
      </c>
      <c r="Z2" s="60" t="s">
        <v>178</v>
      </c>
      <c r="AA2" s="60" t="s">
        <v>21</v>
      </c>
      <c r="AB2" s="60" t="s">
        <v>202</v>
      </c>
      <c r="AC2" s="60" t="s">
        <v>204</v>
      </c>
    </row>
    <row r="3" spans="1:32" ht="12.75">
      <c r="A3" s="3">
        <f aca="true" t="shared" si="0" ref="A3:A27">Y3</f>
        <v>3.7142857142857144</v>
      </c>
      <c r="B3" s="37">
        <v>1</v>
      </c>
      <c r="C3" s="37" t="s">
        <v>100</v>
      </c>
      <c r="D3" s="71">
        <v>12</v>
      </c>
      <c r="E3" s="83">
        <v>1</v>
      </c>
      <c r="F3" s="98">
        <v>4</v>
      </c>
      <c r="G3" s="83"/>
      <c r="H3" s="110" t="s">
        <v>206</v>
      </c>
      <c r="I3" s="98">
        <v>4</v>
      </c>
      <c r="J3" s="83">
        <v>1</v>
      </c>
      <c r="K3" s="98">
        <v>4</v>
      </c>
      <c r="L3" s="110"/>
      <c r="M3" s="98">
        <v>4</v>
      </c>
      <c r="N3" s="110">
        <v>1</v>
      </c>
      <c r="O3" s="98">
        <v>4</v>
      </c>
      <c r="P3" s="83"/>
      <c r="Q3" s="98">
        <v>5</v>
      </c>
      <c r="R3" s="83"/>
      <c r="S3" s="113">
        <v>5</v>
      </c>
      <c r="T3" s="83">
        <v>5</v>
      </c>
      <c r="U3" s="98">
        <v>5</v>
      </c>
      <c r="V3" s="110" t="s">
        <v>206</v>
      </c>
      <c r="W3" s="98">
        <v>5</v>
      </c>
      <c r="X3" s="98">
        <v>4</v>
      </c>
      <c r="Y3" s="95">
        <f aca="true" t="shared" si="1" ref="Y3:Y15">AVERAGE(E3:X3)</f>
        <v>3.7142857142857144</v>
      </c>
      <c r="Z3" s="36">
        <f>ROUND(Y3,0)</f>
        <v>4</v>
      </c>
      <c r="AA3" s="36">
        <v>6</v>
      </c>
      <c r="AB3" s="36">
        <v>4</v>
      </c>
      <c r="AC3" s="214">
        <f>AVERAGE(AA3:AB3)</f>
        <v>5</v>
      </c>
      <c r="AD3" s="20" t="s">
        <v>30</v>
      </c>
      <c r="AE3" s="1">
        <f>COUNTIF(Z3:Z27,"&gt;8")</f>
        <v>4</v>
      </c>
      <c r="AF3" s="47">
        <f>AE3/$B$27</f>
        <v>0.16</v>
      </c>
    </row>
    <row r="4" spans="1:32" ht="12.75">
      <c r="A4" s="3">
        <f t="shared" si="0"/>
        <v>3.5</v>
      </c>
      <c r="B4" s="37">
        <v>2</v>
      </c>
      <c r="C4" s="37" t="s">
        <v>101</v>
      </c>
      <c r="D4" s="71">
        <v>8</v>
      </c>
      <c r="E4" s="83">
        <v>2</v>
      </c>
      <c r="F4" s="98">
        <v>4</v>
      </c>
      <c r="G4" s="88" t="s">
        <v>206</v>
      </c>
      <c r="H4" s="109">
        <v>1</v>
      </c>
      <c r="I4" s="98">
        <v>4</v>
      </c>
      <c r="J4" s="83">
        <v>1</v>
      </c>
      <c r="K4" s="98">
        <v>4</v>
      </c>
      <c r="L4" s="110">
        <v>2</v>
      </c>
      <c r="M4" s="98">
        <v>4</v>
      </c>
      <c r="N4" s="110">
        <v>1</v>
      </c>
      <c r="O4" s="98">
        <v>4</v>
      </c>
      <c r="P4" s="83"/>
      <c r="Q4" s="98">
        <v>5</v>
      </c>
      <c r="R4" s="83"/>
      <c r="S4" s="113">
        <v>5</v>
      </c>
      <c r="T4" s="85">
        <v>5</v>
      </c>
      <c r="U4" s="99">
        <v>5</v>
      </c>
      <c r="V4" s="110" t="s">
        <v>206</v>
      </c>
      <c r="W4" s="98">
        <v>5</v>
      </c>
      <c r="X4" s="98">
        <v>4</v>
      </c>
      <c r="Y4" s="95">
        <f t="shared" si="1"/>
        <v>3.5</v>
      </c>
      <c r="Z4" s="36">
        <v>4</v>
      </c>
      <c r="AA4" s="36">
        <v>4</v>
      </c>
      <c r="AB4" s="36">
        <v>4</v>
      </c>
      <c r="AC4" s="214">
        <f aca="true" t="shared" si="2" ref="AC4:AC27">AVERAGE(AA4:AB4)</f>
        <v>4</v>
      </c>
      <c r="AD4" s="20" t="s">
        <v>31</v>
      </c>
      <c r="AE4" s="48">
        <f>COUNTIF(Z3:Z27,7)+COUNTIF(Z3:Z27,8)</f>
        <v>6</v>
      </c>
      <c r="AF4" s="47">
        <f>AE4/$B$27</f>
        <v>0.24</v>
      </c>
    </row>
    <row r="5" spans="1:32" ht="12.75">
      <c r="A5" s="3">
        <f t="shared" si="0"/>
        <v>5.9</v>
      </c>
      <c r="B5" s="37">
        <v>3</v>
      </c>
      <c r="C5" s="152" t="s">
        <v>75</v>
      </c>
      <c r="D5" s="71">
        <v>3</v>
      </c>
      <c r="E5" s="87"/>
      <c r="F5" s="99">
        <v>6</v>
      </c>
      <c r="G5" s="87"/>
      <c r="H5" s="111"/>
      <c r="I5" s="99">
        <v>6</v>
      </c>
      <c r="J5" s="85"/>
      <c r="K5" s="99">
        <v>4</v>
      </c>
      <c r="L5" s="112"/>
      <c r="M5" s="99">
        <v>4</v>
      </c>
      <c r="N5" s="112"/>
      <c r="O5" s="99">
        <v>4</v>
      </c>
      <c r="P5" s="85"/>
      <c r="Q5" s="99">
        <v>7</v>
      </c>
      <c r="R5" s="85"/>
      <c r="S5" s="113">
        <v>4</v>
      </c>
      <c r="T5" s="85"/>
      <c r="U5" s="99">
        <v>7</v>
      </c>
      <c r="V5" s="112"/>
      <c r="W5" s="99">
        <v>9</v>
      </c>
      <c r="X5" s="99">
        <v>8</v>
      </c>
      <c r="Y5" s="95">
        <f t="shared" si="1"/>
        <v>5.9</v>
      </c>
      <c r="Z5" s="36">
        <f>ROUND(Y5,0)</f>
        <v>6</v>
      </c>
      <c r="AA5" s="36">
        <v>5</v>
      </c>
      <c r="AB5" s="36">
        <v>6</v>
      </c>
      <c r="AC5" s="214">
        <f t="shared" si="2"/>
        <v>5.5</v>
      </c>
      <c r="AD5" s="20" t="s">
        <v>32</v>
      </c>
      <c r="AE5" s="48">
        <f>COUNTIF(Z3:Z27,4)+COUNTIF(Z3:Z27,5)+COUNTIF(Z3:Z27,6)</f>
        <v>15</v>
      </c>
      <c r="AF5" s="47">
        <f>AE5/$B$27</f>
        <v>0.6</v>
      </c>
    </row>
    <row r="6" spans="1:32" ht="12.75">
      <c r="A6" s="3">
        <f t="shared" si="0"/>
        <v>4.533333333333333</v>
      </c>
      <c r="B6" s="37">
        <v>4</v>
      </c>
      <c r="C6" s="151" t="s">
        <v>102</v>
      </c>
      <c r="D6" s="72">
        <v>1</v>
      </c>
      <c r="E6" s="85">
        <v>1</v>
      </c>
      <c r="F6" s="99">
        <v>7</v>
      </c>
      <c r="G6" s="87"/>
      <c r="H6" s="111">
        <v>1</v>
      </c>
      <c r="I6" s="99">
        <v>5</v>
      </c>
      <c r="J6" s="85">
        <v>1</v>
      </c>
      <c r="K6" s="99">
        <v>7</v>
      </c>
      <c r="L6" s="112">
        <v>1</v>
      </c>
      <c r="M6" s="99">
        <v>4</v>
      </c>
      <c r="N6" s="112">
        <v>1</v>
      </c>
      <c r="O6" s="99">
        <v>6</v>
      </c>
      <c r="P6" s="85"/>
      <c r="Q6" s="99">
        <v>7</v>
      </c>
      <c r="R6" s="85"/>
      <c r="S6" s="113">
        <v>6</v>
      </c>
      <c r="T6" s="85"/>
      <c r="U6" s="99">
        <v>9</v>
      </c>
      <c r="V6" s="112" t="s">
        <v>206</v>
      </c>
      <c r="W6" s="99">
        <v>8</v>
      </c>
      <c r="X6" s="86">
        <v>4</v>
      </c>
      <c r="Y6" s="95">
        <f t="shared" si="1"/>
        <v>4.533333333333333</v>
      </c>
      <c r="Z6" s="36">
        <f>ROUND(Y6,0)</f>
        <v>5</v>
      </c>
      <c r="AA6" s="36">
        <v>5</v>
      </c>
      <c r="AB6" s="36">
        <v>4</v>
      </c>
      <c r="AC6" s="214">
        <v>4</v>
      </c>
      <c r="AD6" s="20" t="s">
        <v>33</v>
      </c>
      <c r="AE6" s="1">
        <f>COUNTIF(Z3:Z27,"&lt;4")</f>
        <v>0</v>
      </c>
      <c r="AF6" s="47">
        <f>AE6/$B$27</f>
        <v>0</v>
      </c>
    </row>
    <row r="7" spans="1:32" ht="12.75">
      <c r="A7" s="3">
        <f t="shared" si="0"/>
        <v>8</v>
      </c>
      <c r="B7" s="37">
        <v>5</v>
      </c>
      <c r="C7" s="37" t="s">
        <v>103</v>
      </c>
      <c r="D7" s="71">
        <v>5</v>
      </c>
      <c r="E7" s="83"/>
      <c r="F7" s="84">
        <v>4</v>
      </c>
      <c r="G7" s="88"/>
      <c r="H7" s="109" t="s">
        <v>206</v>
      </c>
      <c r="I7" s="98">
        <v>9</v>
      </c>
      <c r="J7" s="88"/>
      <c r="K7" s="98">
        <v>9</v>
      </c>
      <c r="L7" s="110"/>
      <c r="M7" s="98">
        <v>9</v>
      </c>
      <c r="N7" s="110"/>
      <c r="O7" s="98">
        <v>9</v>
      </c>
      <c r="P7" s="83"/>
      <c r="Q7" s="98">
        <v>8</v>
      </c>
      <c r="R7" s="83"/>
      <c r="S7" s="113">
        <v>9</v>
      </c>
      <c r="T7" s="85"/>
      <c r="U7" s="99">
        <v>7</v>
      </c>
      <c r="V7" s="110"/>
      <c r="W7" s="98">
        <v>8</v>
      </c>
      <c r="X7" s="98">
        <v>8</v>
      </c>
      <c r="Y7" s="95">
        <f t="shared" si="1"/>
        <v>8</v>
      </c>
      <c r="Z7" s="36">
        <f>ROUND(Y7,0)</f>
        <v>8</v>
      </c>
      <c r="AA7" s="36">
        <v>6</v>
      </c>
      <c r="AB7" s="36">
        <v>9</v>
      </c>
      <c r="AC7" s="214">
        <f t="shared" si="2"/>
        <v>7.5</v>
      </c>
      <c r="AD7" s="155" t="s">
        <v>34</v>
      </c>
      <c r="AE7" s="1">
        <f>B27-SUM(AE3:AE6)</f>
        <v>0</v>
      </c>
      <c r="AF7" s="47">
        <f>AE7/$B$27</f>
        <v>0</v>
      </c>
    </row>
    <row r="8" spans="1:29" ht="12.75">
      <c r="A8" s="3">
        <f t="shared" si="0"/>
        <v>9</v>
      </c>
      <c r="B8" s="37">
        <v>6</v>
      </c>
      <c r="C8" s="2" t="s">
        <v>104</v>
      </c>
      <c r="D8" s="72">
        <v>11</v>
      </c>
      <c r="E8" s="85"/>
      <c r="F8" s="99">
        <v>9</v>
      </c>
      <c r="G8" s="87"/>
      <c r="H8" s="111"/>
      <c r="I8" s="86">
        <v>9</v>
      </c>
      <c r="J8" s="85"/>
      <c r="K8" s="86">
        <v>10</v>
      </c>
      <c r="L8" s="111"/>
      <c r="M8" s="86">
        <v>9</v>
      </c>
      <c r="N8" s="111"/>
      <c r="O8" s="86">
        <v>9</v>
      </c>
      <c r="P8" s="87"/>
      <c r="Q8" s="86">
        <v>9</v>
      </c>
      <c r="R8" s="87"/>
      <c r="S8" s="113">
        <v>10</v>
      </c>
      <c r="T8" s="85"/>
      <c r="U8" s="99">
        <v>9</v>
      </c>
      <c r="V8" s="112"/>
      <c r="W8" s="99">
        <v>7</v>
      </c>
      <c r="X8" s="99">
        <v>9</v>
      </c>
      <c r="Y8" s="95">
        <f t="shared" si="1"/>
        <v>9</v>
      </c>
      <c r="Z8" s="36">
        <f>ROUND(Y8,0)</f>
        <v>9</v>
      </c>
      <c r="AA8" s="36">
        <v>8</v>
      </c>
      <c r="AB8" s="36">
        <v>10</v>
      </c>
      <c r="AC8" s="214">
        <f t="shared" si="2"/>
        <v>9</v>
      </c>
    </row>
    <row r="9" spans="1:29" ht="12.75">
      <c r="A9" s="3">
        <f t="shared" si="0"/>
        <v>4.769230769230769</v>
      </c>
      <c r="B9" s="37">
        <v>7</v>
      </c>
      <c r="C9" s="151" t="s">
        <v>105</v>
      </c>
      <c r="D9" s="72">
        <v>6</v>
      </c>
      <c r="E9" s="87">
        <v>1</v>
      </c>
      <c r="F9" s="99">
        <v>6</v>
      </c>
      <c r="G9" s="87"/>
      <c r="H9" s="111">
        <v>1</v>
      </c>
      <c r="I9" s="99">
        <v>6</v>
      </c>
      <c r="J9" s="85">
        <v>1</v>
      </c>
      <c r="K9" s="99">
        <v>6</v>
      </c>
      <c r="L9" s="112"/>
      <c r="M9" s="99">
        <v>4</v>
      </c>
      <c r="N9" s="112"/>
      <c r="O9" s="99">
        <v>4</v>
      </c>
      <c r="P9" s="85"/>
      <c r="Q9" s="99">
        <v>6</v>
      </c>
      <c r="R9" s="85"/>
      <c r="S9" s="113">
        <v>6</v>
      </c>
      <c r="T9" s="85"/>
      <c r="U9" s="99">
        <v>7</v>
      </c>
      <c r="V9" s="112"/>
      <c r="W9" s="99">
        <v>6</v>
      </c>
      <c r="X9" s="86">
        <v>8</v>
      </c>
      <c r="Y9" s="95">
        <f t="shared" si="1"/>
        <v>4.769230769230769</v>
      </c>
      <c r="Z9" s="36">
        <f>ROUND(Y9,0)</f>
        <v>5</v>
      </c>
      <c r="AA9" s="36">
        <v>4</v>
      </c>
      <c r="AB9" s="36">
        <v>6</v>
      </c>
      <c r="AC9" s="214">
        <f t="shared" si="2"/>
        <v>5</v>
      </c>
    </row>
    <row r="10" spans="1:29" ht="12.75">
      <c r="A10" s="3">
        <f t="shared" si="0"/>
        <v>3.5</v>
      </c>
      <c r="B10" s="37">
        <v>8</v>
      </c>
      <c r="C10" s="151" t="s">
        <v>106</v>
      </c>
      <c r="D10" s="72">
        <v>9</v>
      </c>
      <c r="E10" s="85">
        <v>2</v>
      </c>
      <c r="F10" s="99">
        <v>4</v>
      </c>
      <c r="G10" s="85"/>
      <c r="H10" s="112"/>
      <c r="I10" s="99">
        <v>4</v>
      </c>
      <c r="J10" s="85">
        <v>1</v>
      </c>
      <c r="K10" s="99">
        <v>4</v>
      </c>
      <c r="L10" s="112">
        <v>1</v>
      </c>
      <c r="M10" s="99">
        <v>4</v>
      </c>
      <c r="N10" s="112">
        <v>1</v>
      </c>
      <c r="O10" s="99">
        <v>4</v>
      </c>
      <c r="P10" s="85"/>
      <c r="Q10" s="99">
        <v>5</v>
      </c>
      <c r="R10" s="85"/>
      <c r="S10" s="113">
        <v>4</v>
      </c>
      <c r="T10" s="85"/>
      <c r="U10" s="99">
        <v>5</v>
      </c>
      <c r="V10" s="112"/>
      <c r="W10" s="99">
        <v>6</v>
      </c>
      <c r="X10" s="86">
        <v>4</v>
      </c>
      <c r="Y10" s="95">
        <f t="shared" si="1"/>
        <v>3.5</v>
      </c>
      <c r="Z10" s="36">
        <v>4</v>
      </c>
      <c r="AA10" s="36">
        <v>4</v>
      </c>
      <c r="AB10" s="36">
        <v>4</v>
      </c>
      <c r="AC10" s="214">
        <f t="shared" si="2"/>
        <v>4</v>
      </c>
    </row>
    <row r="11" spans="1:29" ht="12.75">
      <c r="A11" s="3">
        <f t="shared" si="0"/>
        <v>8.8</v>
      </c>
      <c r="B11" s="37">
        <v>9</v>
      </c>
      <c r="C11" s="2" t="s">
        <v>107</v>
      </c>
      <c r="D11" s="72">
        <v>4</v>
      </c>
      <c r="E11" s="87"/>
      <c r="F11" s="86">
        <v>9</v>
      </c>
      <c r="G11" s="87"/>
      <c r="H11" s="111"/>
      <c r="I11" s="99">
        <v>9</v>
      </c>
      <c r="J11" s="85"/>
      <c r="K11" s="99">
        <v>9</v>
      </c>
      <c r="L11" s="112"/>
      <c r="M11" s="99">
        <v>8</v>
      </c>
      <c r="N11" s="112"/>
      <c r="O11" s="99">
        <v>9</v>
      </c>
      <c r="P11" s="85"/>
      <c r="Q11" s="99">
        <v>8</v>
      </c>
      <c r="R11" s="85"/>
      <c r="S11" s="113">
        <v>9</v>
      </c>
      <c r="T11" s="85"/>
      <c r="U11" s="99">
        <v>10</v>
      </c>
      <c r="V11" s="112"/>
      <c r="W11" s="99">
        <v>9</v>
      </c>
      <c r="X11" s="86">
        <v>8</v>
      </c>
      <c r="Y11" s="95">
        <f t="shared" si="1"/>
        <v>8.8</v>
      </c>
      <c r="Z11" s="36">
        <f>ROUND(Y11,0)</f>
        <v>9</v>
      </c>
      <c r="AA11" s="36">
        <v>8</v>
      </c>
      <c r="AB11" s="36">
        <v>10</v>
      </c>
      <c r="AC11" s="214">
        <f t="shared" si="2"/>
        <v>9</v>
      </c>
    </row>
    <row r="12" spans="1:29" ht="12.75">
      <c r="A12" s="3">
        <f t="shared" si="0"/>
        <v>4.153846153846154</v>
      </c>
      <c r="B12" s="37">
        <v>10</v>
      </c>
      <c r="C12" s="151" t="s">
        <v>108</v>
      </c>
      <c r="D12" s="72">
        <v>7</v>
      </c>
      <c r="E12" s="85">
        <v>1</v>
      </c>
      <c r="F12" s="99">
        <v>7</v>
      </c>
      <c r="G12" s="87"/>
      <c r="H12" s="111">
        <v>1</v>
      </c>
      <c r="I12" s="99">
        <v>7</v>
      </c>
      <c r="J12" s="85">
        <v>1</v>
      </c>
      <c r="K12" s="99">
        <v>4</v>
      </c>
      <c r="L12" s="112"/>
      <c r="M12" s="99">
        <v>4</v>
      </c>
      <c r="N12" s="112"/>
      <c r="O12" s="99">
        <v>6</v>
      </c>
      <c r="P12" s="85"/>
      <c r="Q12" s="99">
        <v>4</v>
      </c>
      <c r="R12" s="85"/>
      <c r="S12" s="113">
        <v>5</v>
      </c>
      <c r="T12" s="85"/>
      <c r="U12" s="99">
        <v>5</v>
      </c>
      <c r="V12" s="112"/>
      <c r="W12" s="99">
        <v>5</v>
      </c>
      <c r="X12" s="99">
        <v>4</v>
      </c>
      <c r="Y12" s="95">
        <f t="shared" si="1"/>
        <v>4.153846153846154</v>
      </c>
      <c r="Z12" s="36">
        <f>ROUND(Y12,0)</f>
        <v>4</v>
      </c>
      <c r="AA12" s="36">
        <v>4</v>
      </c>
      <c r="AB12" s="36">
        <v>4</v>
      </c>
      <c r="AC12" s="214">
        <f t="shared" si="2"/>
        <v>4</v>
      </c>
    </row>
    <row r="13" spans="1:29" ht="12.75">
      <c r="A13" s="3">
        <f t="shared" si="0"/>
        <v>3.5714285714285716</v>
      </c>
      <c r="B13" s="37">
        <v>11</v>
      </c>
      <c r="C13" s="151" t="s">
        <v>109</v>
      </c>
      <c r="D13" s="72">
        <v>2</v>
      </c>
      <c r="E13" s="85"/>
      <c r="F13" s="99">
        <v>5</v>
      </c>
      <c r="G13" s="87"/>
      <c r="H13" s="111">
        <v>2</v>
      </c>
      <c r="I13" s="99">
        <v>4</v>
      </c>
      <c r="J13" s="85">
        <v>1</v>
      </c>
      <c r="K13" s="99">
        <v>4</v>
      </c>
      <c r="L13" s="112">
        <v>1</v>
      </c>
      <c r="M13" s="99">
        <v>4</v>
      </c>
      <c r="N13" s="112">
        <v>1</v>
      </c>
      <c r="O13" s="99">
        <v>4</v>
      </c>
      <c r="P13" s="85"/>
      <c r="Q13" s="99">
        <v>5</v>
      </c>
      <c r="R13" s="85" t="s">
        <v>206</v>
      </c>
      <c r="S13" s="113">
        <v>4</v>
      </c>
      <c r="T13" s="85"/>
      <c r="U13" s="99">
        <v>5</v>
      </c>
      <c r="V13" s="112"/>
      <c r="W13" s="99">
        <v>6</v>
      </c>
      <c r="X13" s="99">
        <v>4</v>
      </c>
      <c r="Y13" s="95">
        <f t="shared" si="1"/>
        <v>3.5714285714285716</v>
      </c>
      <c r="Z13" s="36">
        <f>ROUND(Y13,0)</f>
        <v>4</v>
      </c>
      <c r="AA13" s="36">
        <v>4</v>
      </c>
      <c r="AB13" s="36">
        <v>4</v>
      </c>
      <c r="AC13" s="214">
        <f t="shared" si="2"/>
        <v>4</v>
      </c>
    </row>
    <row r="14" spans="1:29" ht="12.75">
      <c r="A14" s="3">
        <f t="shared" si="0"/>
        <v>7.7272727272727275</v>
      </c>
      <c r="B14" s="37">
        <v>12</v>
      </c>
      <c r="C14" s="2" t="s">
        <v>110</v>
      </c>
      <c r="D14" s="72">
        <v>13</v>
      </c>
      <c r="E14" s="85">
        <v>1</v>
      </c>
      <c r="F14" s="99">
        <v>6</v>
      </c>
      <c r="G14" s="87"/>
      <c r="H14" s="111"/>
      <c r="I14" s="86">
        <v>9</v>
      </c>
      <c r="J14" s="87"/>
      <c r="K14" s="99">
        <v>4</v>
      </c>
      <c r="L14" s="111"/>
      <c r="M14" s="99">
        <v>8</v>
      </c>
      <c r="N14" s="112"/>
      <c r="O14" s="99">
        <v>10</v>
      </c>
      <c r="P14" s="85"/>
      <c r="Q14" s="99">
        <v>10</v>
      </c>
      <c r="R14" s="85"/>
      <c r="S14" s="113">
        <v>10</v>
      </c>
      <c r="T14" s="87"/>
      <c r="U14" s="86">
        <v>9</v>
      </c>
      <c r="V14" s="111"/>
      <c r="W14" s="86">
        <v>9</v>
      </c>
      <c r="X14" s="86">
        <v>9</v>
      </c>
      <c r="Y14" s="95">
        <f t="shared" si="1"/>
        <v>7.7272727272727275</v>
      </c>
      <c r="Z14" s="36">
        <f>ROUND(Y14,0)</f>
        <v>8</v>
      </c>
      <c r="AA14" s="36">
        <v>7</v>
      </c>
      <c r="AB14" s="36">
        <v>10</v>
      </c>
      <c r="AC14" s="214">
        <f t="shared" si="2"/>
        <v>8.5</v>
      </c>
    </row>
    <row r="15" spans="1:29" ht="12.75">
      <c r="A15" s="3"/>
      <c r="B15" s="37">
        <v>13</v>
      </c>
      <c r="C15" s="151" t="s">
        <v>111</v>
      </c>
      <c r="D15" s="72">
        <v>10</v>
      </c>
      <c r="E15" s="85"/>
      <c r="F15" s="99">
        <v>4</v>
      </c>
      <c r="G15" s="87"/>
      <c r="H15" s="111">
        <v>1</v>
      </c>
      <c r="I15" s="99">
        <v>4</v>
      </c>
      <c r="J15" s="87">
        <v>1</v>
      </c>
      <c r="K15" s="99">
        <v>4</v>
      </c>
      <c r="L15" s="111">
        <v>1</v>
      </c>
      <c r="M15" s="99">
        <v>4</v>
      </c>
      <c r="N15" s="111"/>
      <c r="O15" s="99">
        <v>4</v>
      </c>
      <c r="P15" s="87"/>
      <c r="Q15" s="99">
        <v>5</v>
      </c>
      <c r="R15" s="87" t="s">
        <v>206</v>
      </c>
      <c r="S15" s="113">
        <v>5</v>
      </c>
      <c r="T15" s="87"/>
      <c r="U15" s="86">
        <v>4</v>
      </c>
      <c r="V15" s="111"/>
      <c r="W15" s="86">
        <v>5</v>
      </c>
      <c r="X15" s="86">
        <v>4</v>
      </c>
      <c r="Y15" s="95">
        <f t="shared" si="1"/>
        <v>3.5384615384615383</v>
      </c>
      <c r="Z15" s="36">
        <f>ROUND(Y15,0)</f>
        <v>4</v>
      </c>
      <c r="AA15" s="36">
        <v>4</v>
      </c>
      <c r="AB15" s="36">
        <v>4</v>
      </c>
      <c r="AC15" s="214">
        <f t="shared" si="2"/>
        <v>4</v>
      </c>
    </row>
    <row r="16" spans="1:29" ht="12.75">
      <c r="A16" s="3"/>
      <c r="B16" s="37">
        <v>14</v>
      </c>
      <c r="C16" s="37" t="s">
        <v>254</v>
      </c>
      <c r="D16" s="72"/>
      <c r="E16" s="85"/>
      <c r="F16" s="99"/>
      <c r="G16" s="87"/>
      <c r="H16" s="111"/>
      <c r="I16" s="99"/>
      <c r="J16" s="87"/>
      <c r="K16" s="99"/>
      <c r="L16" s="111"/>
      <c r="M16" s="99"/>
      <c r="N16" s="111"/>
      <c r="O16" s="99"/>
      <c r="P16" s="87"/>
      <c r="Q16" s="99"/>
      <c r="R16" s="87"/>
      <c r="S16" s="113"/>
      <c r="T16" s="87"/>
      <c r="U16" s="86"/>
      <c r="V16" s="111"/>
      <c r="W16" s="86"/>
      <c r="X16" s="86"/>
      <c r="Y16" s="13"/>
      <c r="Z16" s="36">
        <v>4</v>
      </c>
      <c r="AA16" s="36">
        <v>4</v>
      </c>
      <c r="AB16" s="36">
        <v>4</v>
      </c>
      <c r="AC16" s="214">
        <f t="shared" si="2"/>
        <v>4</v>
      </c>
    </row>
    <row r="17" spans="1:29" ht="12.75">
      <c r="A17" s="3"/>
      <c r="B17" s="37">
        <v>15</v>
      </c>
      <c r="C17" s="37" t="s">
        <v>255</v>
      </c>
      <c r="D17" s="72"/>
      <c r="E17" s="85"/>
      <c r="F17" s="99"/>
      <c r="G17" s="87"/>
      <c r="H17" s="111"/>
      <c r="I17" s="99"/>
      <c r="J17" s="87"/>
      <c r="K17" s="99"/>
      <c r="L17" s="111"/>
      <c r="M17" s="99"/>
      <c r="N17" s="111"/>
      <c r="O17" s="99"/>
      <c r="P17" s="87"/>
      <c r="Q17" s="99"/>
      <c r="R17" s="87"/>
      <c r="S17" s="113"/>
      <c r="T17" s="87"/>
      <c r="U17" s="86"/>
      <c r="V17" s="111"/>
      <c r="W17" s="86"/>
      <c r="X17" s="86"/>
      <c r="Y17" s="13"/>
      <c r="Z17" s="36">
        <v>8</v>
      </c>
      <c r="AA17" s="36">
        <v>7</v>
      </c>
      <c r="AB17" s="36">
        <v>7</v>
      </c>
      <c r="AC17" s="214">
        <f t="shared" si="2"/>
        <v>7</v>
      </c>
    </row>
    <row r="18" spans="1:29" ht="12.75">
      <c r="A18" s="3"/>
      <c r="B18" s="37">
        <v>16</v>
      </c>
      <c r="C18" s="37" t="s">
        <v>256</v>
      </c>
      <c r="D18" s="72"/>
      <c r="E18" s="85"/>
      <c r="F18" s="99"/>
      <c r="G18" s="87"/>
      <c r="H18" s="111"/>
      <c r="I18" s="99"/>
      <c r="J18" s="87"/>
      <c r="K18" s="99"/>
      <c r="L18" s="111"/>
      <c r="M18" s="99"/>
      <c r="N18" s="111"/>
      <c r="O18" s="99"/>
      <c r="P18" s="87"/>
      <c r="Q18" s="99"/>
      <c r="R18" s="87"/>
      <c r="S18" s="113"/>
      <c r="T18" s="87"/>
      <c r="U18" s="86"/>
      <c r="V18" s="111"/>
      <c r="W18" s="86"/>
      <c r="X18" s="86"/>
      <c r="Y18" s="13"/>
      <c r="Z18" s="36">
        <v>4</v>
      </c>
      <c r="AA18" s="36">
        <v>4</v>
      </c>
      <c r="AB18" s="36">
        <v>4</v>
      </c>
      <c r="AC18" s="214">
        <f t="shared" si="2"/>
        <v>4</v>
      </c>
    </row>
    <row r="19" spans="1:29" ht="12.75">
      <c r="A19" s="3"/>
      <c r="B19" s="37">
        <v>17</v>
      </c>
      <c r="C19" s="2" t="s">
        <v>257</v>
      </c>
      <c r="D19" s="72"/>
      <c r="E19" s="85"/>
      <c r="F19" s="99"/>
      <c r="G19" s="87"/>
      <c r="H19" s="111"/>
      <c r="I19" s="99"/>
      <c r="J19" s="87"/>
      <c r="K19" s="99"/>
      <c r="L19" s="111"/>
      <c r="M19" s="99"/>
      <c r="N19" s="111"/>
      <c r="O19" s="99"/>
      <c r="P19" s="87"/>
      <c r="Q19" s="99"/>
      <c r="R19" s="87"/>
      <c r="S19" s="113"/>
      <c r="T19" s="87"/>
      <c r="U19" s="86"/>
      <c r="V19" s="111"/>
      <c r="W19" s="86"/>
      <c r="X19" s="86"/>
      <c r="Y19" s="13"/>
      <c r="Z19" s="36">
        <v>7</v>
      </c>
      <c r="AA19" s="36">
        <v>5</v>
      </c>
      <c r="AB19" s="36">
        <v>8</v>
      </c>
      <c r="AC19" s="214">
        <f t="shared" si="2"/>
        <v>6.5</v>
      </c>
    </row>
    <row r="20" spans="1:29" ht="12.75">
      <c r="A20" s="3"/>
      <c r="B20" s="37">
        <v>18</v>
      </c>
      <c r="C20" s="2" t="s">
        <v>258</v>
      </c>
      <c r="D20" s="72"/>
      <c r="E20" s="85"/>
      <c r="F20" s="99"/>
      <c r="G20" s="87"/>
      <c r="H20" s="111"/>
      <c r="I20" s="99"/>
      <c r="J20" s="87"/>
      <c r="K20" s="99"/>
      <c r="L20" s="111"/>
      <c r="M20" s="99"/>
      <c r="N20" s="111"/>
      <c r="O20" s="99"/>
      <c r="P20" s="87"/>
      <c r="Q20" s="99"/>
      <c r="R20" s="87"/>
      <c r="S20" s="113"/>
      <c r="T20" s="87"/>
      <c r="U20" s="86"/>
      <c r="V20" s="111"/>
      <c r="W20" s="86"/>
      <c r="X20" s="86"/>
      <c r="Y20" s="13"/>
      <c r="Z20" s="36">
        <v>5</v>
      </c>
      <c r="AA20" s="36">
        <v>5</v>
      </c>
      <c r="AB20" s="36">
        <v>5</v>
      </c>
      <c r="AC20" s="214">
        <f t="shared" si="2"/>
        <v>5</v>
      </c>
    </row>
    <row r="21" spans="1:29" ht="12.75">
      <c r="A21" s="3"/>
      <c r="B21" s="37">
        <v>19</v>
      </c>
      <c r="C21" s="2" t="s">
        <v>259</v>
      </c>
      <c r="D21" s="72"/>
      <c r="E21" s="85"/>
      <c r="F21" s="99"/>
      <c r="G21" s="87"/>
      <c r="H21" s="111"/>
      <c r="I21" s="99"/>
      <c r="J21" s="87"/>
      <c r="K21" s="99"/>
      <c r="L21" s="111"/>
      <c r="M21" s="99"/>
      <c r="N21" s="111"/>
      <c r="O21" s="99"/>
      <c r="P21" s="87"/>
      <c r="Q21" s="99"/>
      <c r="R21" s="87"/>
      <c r="S21" s="113"/>
      <c r="T21" s="87"/>
      <c r="U21" s="86"/>
      <c r="V21" s="111"/>
      <c r="W21" s="86"/>
      <c r="X21" s="86"/>
      <c r="Y21" s="13"/>
      <c r="Z21" s="36">
        <v>7</v>
      </c>
      <c r="AA21" s="36">
        <v>4</v>
      </c>
      <c r="AB21" s="36">
        <v>6</v>
      </c>
      <c r="AC21" s="214">
        <f t="shared" si="2"/>
        <v>5</v>
      </c>
    </row>
    <row r="22" spans="1:29" ht="12.75">
      <c r="A22" s="3"/>
      <c r="B22" s="37">
        <v>20</v>
      </c>
      <c r="C22" s="2" t="s">
        <v>260</v>
      </c>
      <c r="D22" s="72"/>
      <c r="E22" s="85"/>
      <c r="F22" s="99"/>
      <c r="G22" s="87"/>
      <c r="H22" s="111"/>
      <c r="I22" s="99"/>
      <c r="J22" s="87"/>
      <c r="K22" s="99"/>
      <c r="L22" s="111"/>
      <c r="M22" s="99"/>
      <c r="N22" s="111"/>
      <c r="O22" s="99"/>
      <c r="P22" s="87"/>
      <c r="Q22" s="99"/>
      <c r="R22" s="87"/>
      <c r="S22" s="113"/>
      <c r="T22" s="87"/>
      <c r="U22" s="86"/>
      <c r="V22" s="111"/>
      <c r="W22" s="86"/>
      <c r="X22" s="86"/>
      <c r="Y22" s="13"/>
      <c r="Z22" s="36">
        <v>7</v>
      </c>
      <c r="AA22" s="36">
        <v>6</v>
      </c>
      <c r="AB22" s="36">
        <v>9</v>
      </c>
      <c r="AC22" s="214">
        <f t="shared" si="2"/>
        <v>7.5</v>
      </c>
    </row>
    <row r="23" spans="1:29" ht="12.75">
      <c r="A23" s="3"/>
      <c r="B23" s="37">
        <v>21</v>
      </c>
      <c r="C23" s="2" t="s">
        <v>261</v>
      </c>
      <c r="D23" s="72"/>
      <c r="E23" s="85"/>
      <c r="F23" s="99"/>
      <c r="G23" s="87"/>
      <c r="H23" s="111"/>
      <c r="I23" s="99"/>
      <c r="J23" s="87"/>
      <c r="K23" s="99"/>
      <c r="L23" s="111"/>
      <c r="M23" s="99"/>
      <c r="N23" s="111"/>
      <c r="O23" s="99"/>
      <c r="P23" s="87"/>
      <c r="Q23" s="99"/>
      <c r="R23" s="87"/>
      <c r="S23" s="113"/>
      <c r="T23" s="87"/>
      <c r="U23" s="86"/>
      <c r="V23" s="111"/>
      <c r="W23" s="86"/>
      <c r="X23" s="86"/>
      <c r="Y23" s="13"/>
      <c r="Z23" s="36">
        <v>9</v>
      </c>
      <c r="AA23" s="36">
        <v>9</v>
      </c>
      <c r="AB23" s="36">
        <v>9</v>
      </c>
      <c r="AC23" s="214">
        <f t="shared" si="2"/>
        <v>9</v>
      </c>
    </row>
    <row r="24" spans="1:29" ht="12.75">
      <c r="A24" s="3"/>
      <c r="B24" s="37">
        <v>22</v>
      </c>
      <c r="C24" s="151" t="s">
        <v>262</v>
      </c>
      <c r="D24" s="72"/>
      <c r="E24" s="85"/>
      <c r="F24" s="99"/>
      <c r="G24" s="87"/>
      <c r="H24" s="111"/>
      <c r="I24" s="99"/>
      <c r="J24" s="87"/>
      <c r="K24" s="99"/>
      <c r="L24" s="111"/>
      <c r="M24" s="99"/>
      <c r="N24" s="111"/>
      <c r="O24" s="99"/>
      <c r="P24" s="87"/>
      <c r="Q24" s="99"/>
      <c r="R24" s="87"/>
      <c r="S24" s="113"/>
      <c r="T24" s="87"/>
      <c r="U24" s="86"/>
      <c r="V24" s="111"/>
      <c r="W24" s="86"/>
      <c r="X24" s="86"/>
      <c r="Y24" s="13"/>
      <c r="Z24" s="36">
        <v>4</v>
      </c>
      <c r="AA24" s="36">
        <v>6</v>
      </c>
      <c r="AB24" s="36">
        <v>5</v>
      </c>
      <c r="AC24" s="214">
        <v>5</v>
      </c>
    </row>
    <row r="25" spans="1:29" ht="12.75">
      <c r="A25" s="3"/>
      <c r="B25" s="37">
        <v>23</v>
      </c>
      <c r="C25" s="2" t="s">
        <v>263</v>
      </c>
      <c r="D25" s="72"/>
      <c r="E25" s="85"/>
      <c r="F25" s="99"/>
      <c r="G25" s="87"/>
      <c r="H25" s="111"/>
      <c r="I25" s="99"/>
      <c r="J25" s="87"/>
      <c r="K25" s="99"/>
      <c r="L25" s="111"/>
      <c r="M25" s="99"/>
      <c r="N25" s="111"/>
      <c r="O25" s="99"/>
      <c r="P25" s="87"/>
      <c r="Q25" s="99"/>
      <c r="R25" s="87"/>
      <c r="S25" s="113"/>
      <c r="T25" s="87"/>
      <c r="U25" s="86"/>
      <c r="V25" s="111"/>
      <c r="W25" s="86"/>
      <c r="X25" s="86"/>
      <c r="Y25" s="13"/>
      <c r="Z25" s="36">
        <v>4</v>
      </c>
      <c r="AA25" s="36">
        <v>4</v>
      </c>
      <c r="AB25" s="36">
        <v>4</v>
      </c>
      <c r="AC25" s="214">
        <f t="shared" si="2"/>
        <v>4</v>
      </c>
    </row>
    <row r="26" spans="1:29" ht="12.75">
      <c r="A26" s="3"/>
      <c r="B26" s="37">
        <v>24</v>
      </c>
      <c r="C26" s="2" t="s">
        <v>264</v>
      </c>
      <c r="D26" s="72"/>
      <c r="E26" s="85"/>
      <c r="F26" s="99"/>
      <c r="G26" s="87"/>
      <c r="H26" s="111"/>
      <c r="I26" s="99"/>
      <c r="J26" s="87"/>
      <c r="K26" s="99"/>
      <c r="L26" s="111"/>
      <c r="M26" s="99"/>
      <c r="N26" s="111"/>
      <c r="O26" s="99"/>
      <c r="P26" s="87"/>
      <c r="Q26" s="99"/>
      <c r="R26" s="87"/>
      <c r="S26" s="113"/>
      <c r="T26" s="87"/>
      <c r="U26" s="86"/>
      <c r="V26" s="111"/>
      <c r="W26" s="86"/>
      <c r="X26" s="86"/>
      <c r="Y26" s="13"/>
      <c r="Z26" s="36">
        <v>5</v>
      </c>
      <c r="AA26" s="36">
        <v>4</v>
      </c>
      <c r="AB26" s="36">
        <v>7</v>
      </c>
      <c r="AC26" s="214">
        <f t="shared" si="2"/>
        <v>5.5</v>
      </c>
    </row>
    <row r="27" spans="1:29" ht="12.75">
      <c r="A27" s="3">
        <f t="shared" si="0"/>
        <v>0</v>
      </c>
      <c r="B27" s="37">
        <v>25</v>
      </c>
      <c r="C27" s="2" t="s">
        <v>265</v>
      </c>
      <c r="D27" s="72"/>
      <c r="E27" s="85"/>
      <c r="F27" s="99"/>
      <c r="G27" s="87"/>
      <c r="H27" s="111"/>
      <c r="I27" s="99"/>
      <c r="J27" s="87"/>
      <c r="K27" s="99"/>
      <c r="L27" s="111"/>
      <c r="M27" s="99"/>
      <c r="N27" s="111"/>
      <c r="O27" s="99"/>
      <c r="P27" s="87"/>
      <c r="Q27" s="99"/>
      <c r="R27" s="87"/>
      <c r="S27" s="113"/>
      <c r="T27" s="87"/>
      <c r="U27" s="86"/>
      <c r="V27" s="111"/>
      <c r="W27" s="86"/>
      <c r="X27" s="86"/>
      <c r="Y27" s="13"/>
      <c r="Z27" s="36">
        <v>10</v>
      </c>
      <c r="AA27" s="36">
        <v>9</v>
      </c>
      <c r="AB27" s="36">
        <v>10</v>
      </c>
      <c r="AC27" s="214">
        <f t="shared" si="2"/>
        <v>9.5</v>
      </c>
    </row>
    <row r="28" spans="3:29" s="5" customFormat="1" ht="13.5" thickBot="1">
      <c r="C28" s="232" t="s">
        <v>0</v>
      </c>
      <c r="D28" s="233"/>
      <c r="E28" s="89"/>
      <c r="F28" s="90">
        <f>AVERAGE(F3:F27)</f>
        <v>5.769230769230769</v>
      </c>
      <c r="G28" s="89"/>
      <c r="H28" s="128"/>
      <c r="I28" s="90">
        <f>AVERAGE(I3:I27)</f>
        <v>6.153846153846154</v>
      </c>
      <c r="J28" s="89"/>
      <c r="K28" s="90">
        <f>AVERAGE(K3:K27)</f>
        <v>5.615384615384615</v>
      </c>
      <c r="L28" s="128"/>
      <c r="M28" s="114">
        <f>AVERAGE(M3:M27)</f>
        <v>5.384615384615385</v>
      </c>
      <c r="N28" s="34"/>
      <c r="O28" s="90">
        <f>AVERAGE(O3:O27)</f>
        <v>5.923076923076923</v>
      </c>
      <c r="P28" s="89"/>
      <c r="Q28" s="90">
        <f>AVERAGE(Q3:Q27)</f>
        <v>6.461538461538462</v>
      </c>
      <c r="R28" s="89"/>
      <c r="S28" s="114">
        <f>AVERAGE(S3:S27)</f>
        <v>6.3076923076923075</v>
      </c>
      <c r="T28" s="34"/>
      <c r="U28" s="34">
        <f>AVERAGE(U3:U27)</f>
        <v>6.6923076923076925</v>
      </c>
      <c r="V28" s="128"/>
      <c r="W28" s="90">
        <f aca="true" t="shared" si="3" ref="W28:AC28">AVERAGE(W3:W27)</f>
        <v>6.769230769230769</v>
      </c>
      <c r="X28" s="90">
        <f t="shared" si="3"/>
        <v>6</v>
      </c>
      <c r="Y28" s="102">
        <f t="shared" si="3"/>
        <v>5.4390660621429845</v>
      </c>
      <c r="Z28" s="34">
        <f t="shared" si="3"/>
        <v>5.92</v>
      </c>
      <c r="AA28" s="34">
        <f t="shared" si="3"/>
        <v>5.44</v>
      </c>
      <c r="AB28" s="34">
        <f t="shared" si="3"/>
        <v>6.28</v>
      </c>
      <c r="AC28" s="34">
        <f t="shared" si="3"/>
        <v>5.82</v>
      </c>
    </row>
    <row r="29" spans="3:26" s="5" customFormat="1" ht="13.5" thickBot="1">
      <c r="C29" s="6"/>
      <c r="D29" s="97"/>
      <c r="E29" s="234" t="s">
        <v>79</v>
      </c>
      <c r="F29" s="235"/>
      <c r="G29" s="234" t="s">
        <v>68</v>
      </c>
      <c r="H29" s="236"/>
      <c r="I29" s="235"/>
      <c r="J29" s="234" t="s">
        <v>179</v>
      </c>
      <c r="K29" s="235"/>
      <c r="L29" s="234" t="s">
        <v>180</v>
      </c>
      <c r="M29" s="235"/>
      <c r="N29" s="234" t="s">
        <v>181</v>
      </c>
      <c r="O29" s="235"/>
      <c r="P29" s="234" t="s">
        <v>182</v>
      </c>
      <c r="Q29" s="235"/>
      <c r="R29" s="234" t="s">
        <v>183</v>
      </c>
      <c r="S29" s="235"/>
      <c r="T29" s="240" t="s">
        <v>184</v>
      </c>
      <c r="U29" s="241"/>
      <c r="V29" s="242" t="s">
        <v>185</v>
      </c>
      <c r="W29" s="243"/>
      <c r="X29" s="129" t="s">
        <v>186</v>
      </c>
      <c r="Y29" s="96"/>
      <c r="Z29" s="9"/>
    </row>
    <row r="30" spans="3:26" ht="12.75">
      <c r="C30" s="4" t="s">
        <v>46</v>
      </c>
      <c r="D30" s="57"/>
      <c r="E30" s="237" t="s">
        <v>22</v>
      </c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35">
        <f>Z30/$B$12</f>
        <v>2.5</v>
      </c>
      <c r="Z30" s="8">
        <f>COUNTIF(Z3:Z27,"&gt;3")</f>
        <v>25</v>
      </c>
    </row>
    <row r="31" spans="3:26" ht="12.75">
      <c r="C31" s="4" t="s">
        <v>47</v>
      </c>
      <c r="D31" s="4"/>
      <c r="E31" s="13"/>
      <c r="F31" s="4"/>
      <c r="G31" s="13"/>
      <c r="H31" s="1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3"/>
      <c r="U31" s="13"/>
      <c r="V31" s="13"/>
      <c r="W31" s="13"/>
      <c r="X31" s="13"/>
      <c r="Y31" s="35">
        <f>Z31/$B$12</f>
        <v>1</v>
      </c>
      <c r="Z31" s="8">
        <f>COUNTIF(Z3:Z27,"&gt;6")</f>
        <v>10</v>
      </c>
    </row>
    <row r="33" ht="12.75">
      <c r="C33" t="s">
        <v>188</v>
      </c>
    </row>
    <row r="35" ht="12.75">
      <c r="W35" s="106"/>
    </row>
    <row r="36" ht="12.75">
      <c r="W36" s="106"/>
    </row>
  </sheetData>
  <sheetProtection/>
  <mergeCells count="12">
    <mergeCell ref="E30:X30"/>
    <mergeCell ref="J29:K29"/>
    <mergeCell ref="L29:M29"/>
    <mergeCell ref="N29:O29"/>
    <mergeCell ref="P29:Q29"/>
    <mergeCell ref="R29:S29"/>
    <mergeCell ref="T29:U29"/>
    <mergeCell ref="V29:W29"/>
    <mergeCell ref="C1:I1"/>
    <mergeCell ref="C28:D28"/>
    <mergeCell ref="E29:F29"/>
    <mergeCell ref="G29:I29"/>
  </mergeCells>
  <conditionalFormatting sqref="Z3:AB2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Y3:Y15 AC3:AC2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2"/>
  <sheetViews>
    <sheetView zoomScalePageLayoutView="0" workbookViewId="0" topLeftCell="B1">
      <selection activeCell="V13" sqref="V13"/>
    </sheetView>
  </sheetViews>
  <sheetFormatPr defaultColWidth="9.00390625" defaultRowHeight="12.75"/>
  <cols>
    <col min="1" max="1" width="4.75390625" style="0" hidden="1" customWidth="1"/>
    <col min="2" max="2" width="3.625" style="0" customWidth="1"/>
    <col min="3" max="3" width="22.75390625" style="0" customWidth="1"/>
    <col min="4" max="4" width="8.625" style="0" customWidth="1"/>
    <col min="5" max="5" width="5.75390625" style="0" customWidth="1"/>
    <col min="6" max="6" width="5.375" style="0" customWidth="1"/>
    <col min="7" max="10" width="5.75390625" style="0" customWidth="1"/>
    <col min="11" max="11" width="5.125" style="0" customWidth="1"/>
    <col min="12" max="13" width="5.375" style="0" customWidth="1"/>
    <col min="14" max="14" width="5.125" style="0" customWidth="1"/>
    <col min="15" max="16" width="5.75390625" style="14" customWidth="1"/>
    <col min="17" max="20" width="5.75390625" style="0" customWidth="1"/>
    <col min="21" max="21" width="9.125" style="3" customWidth="1"/>
    <col min="22" max="22" width="9.125" style="10" customWidth="1"/>
    <col min="23" max="23" width="7.25390625" style="0" customWidth="1"/>
    <col min="24" max="24" width="7.375" style="0" customWidth="1"/>
  </cols>
  <sheetData>
    <row r="1" spans="3:31" ht="13.5" thickBot="1">
      <c r="C1" s="239" t="s">
        <v>112</v>
      </c>
      <c r="D1" s="239"/>
      <c r="E1" s="239"/>
      <c r="F1" s="239"/>
      <c r="G1" s="239"/>
      <c r="H1" s="239"/>
      <c r="I1" s="239"/>
      <c r="J1" s="239"/>
      <c r="K1" s="53"/>
      <c r="L1" s="33"/>
      <c r="M1" s="33"/>
      <c r="N1" s="33"/>
      <c r="O1" s="33"/>
      <c r="P1" s="33"/>
      <c r="Q1" s="33"/>
      <c r="R1" s="33"/>
      <c r="S1" s="33"/>
      <c r="T1" s="62"/>
      <c r="U1" s="33"/>
      <c r="V1" s="33"/>
      <c r="W1" s="33"/>
      <c r="X1" s="33"/>
      <c r="Y1" s="33"/>
      <c r="Z1" s="64"/>
      <c r="AA1" s="65"/>
      <c r="AD1" s="14"/>
      <c r="AE1" s="15"/>
    </row>
    <row r="2" spans="2:27" ht="16.5" customHeight="1" thickBot="1">
      <c r="B2" s="66" t="s">
        <v>73</v>
      </c>
      <c r="C2" s="67" t="s">
        <v>26</v>
      </c>
      <c r="D2" s="68" t="s">
        <v>74</v>
      </c>
      <c r="E2" s="81">
        <v>42013</v>
      </c>
      <c r="F2" s="82">
        <v>42020</v>
      </c>
      <c r="G2" s="81">
        <v>42048</v>
      </c>
      <c r="H2" s="82">
        <v>42055</v>
      </c>
      <c r="I2" s="81">
        <v>42062</v>
      </c>
      <c r="J2" s="125">
        <v>42083</v>
      </c>
      <c r="K2" s="81">
        <v>42097</v>
      </c>
      <c r="L2" s="125">
        <v>42146</v>
      </c>
      <c r="M2" s="81">
        <v>42149</v>
      </c>
      <c r="N2" s="125">
        <v>42150</v>
      </c>
      <c r="O2" s="81">
        <v>42152</v>
      </c>
      <c r="P2" s="127">
        <v>42153</v>
      </c>
      <c r="Q2" s="125">
        <v>42156</v>
      </c>
      <c r="R2" s="81">
        <v>42160</v>
      </c>
      <c r="S2" s="82">
        <v>42167</v>
      </c>
      <c r="T2" s="159">
        <v>42174</v>
      </c>
      <c r="U2" s="69" t="s">
        <v>24</v>
      </c>
      <c r="V2" s="70" t="s">
        <v>178</v>
      </c>
      <c r="W2" s="177" t="s">
        <v>21</v>
      </c>
      <c r="X2" s="70" t="s">
        <v>204</v>
      </c>
      <c r="Y2" s="33"/>
      <c r="Z2" s="33"/>
      <c r="AA2" s="33"/>
    </row>
    <row r="3" spans="1:27" ht="12.75">
      <c r="A3" s="3">
        <f aca="true" t="shared" si="0" ref="A3:A15">U3</f>
        <v>6.111111111111111</v>
      </c>
      <c r="B3" s="61">
        <v>1</v>
      </c>
      <c r="C3" s="152" t="s">
        <v>114</v>
      </c>
      <c r="D3" s="210" t="s">
        <v>274</v>
      </c>
      <c r="E3" s="83"/>
      <c r="F3" s="98">
        <v>4</v>
      </c>
      <c r="G3" s="83"/>
      <c r="H3" s="84">
        <v>6</v>
      </c>
      <c r="I3" s="144">
        <v>1</v>
      </c>
      <c r="J3" s="171">
        <v>4</v>
      </c>
      <c r="K3" s="88"/>
      <c r="L3" s="126">
        <v>5</v>
      </c>
      <c r="M3" s="88"/>
      <c r="N3" s="126">
        <v>9</v>
      </c>
      <c r="O3" s="83"/>
      <c r="P3" s="110"/>
      <c r="Q3" s="126">
        <v>10</v>
      </c>
      <c r="R3" s="88"/>
      <c r="S3" s="126">
        <v>10</v>
      </c>
      <c r="T3" s="164">
        <v>6</v>
      </c>
      <c r="U3" s="95">
        <f aca="true" t="shared" si="1" ref="U3:U15">AVERAGE(E3:T3)</f>
        <v>6.111111111111111</v>
      </c>
      <c r="V3" s="8">
        <f aca="true" t="shared" si="2" ref="V3:V12">ROUND(U3,0)</f>
        <v>6</v>
      </c>
      <c r="W3" s="36">
        <v>6</v>
      </c>
      <c r="X3" s="8">
        <f>AVERAGE(V3:W3)</f>
        <v>6</v>
      </c>
      <c r="Y3" s="1" t="s">
        <v>31</v>
      </c>
      <c r="Z3" s="48">
        <f>COUNTIF(V3:V15,7)+COUNTIF(V3:V15,8)</f>
        <v>6</v>
      </c>
      <c r="AA3" s="47">
        <f>Z3/$B$15</f>
        <v>0.46153846153846156</v>
      </c>
    </row>
    <row r="4" spans="1:27" ht="12.75">
      <c r="A4" s="3">
        <f t="shared" si="0"/>
        <v>5.75</v>
      </c>
      <c r="B4" s="61">
        <v>2</v>
      </c>
      <c r="C4" s="152" t="s">
        <v>115</v>
      </c>
      <c r="D4" s="210" t="s">
        <v>275</v>
      </c>
      <c r="E4" s="83"/>
      <c r="F4" s="98">
        <v>4</v>
      </c>
      <c r="G4" s="83"/>
      <c r="H4" s="84">
        <v>6</v>
      </c>
      <c r="I4" s="83"/>
      <c r="J4" s="113">
        <v>4</v>
      </c>
      <c r="K4" s="85"/>
      <c r="L4" s="115">
        <v>5</v>
      </c>
      <c r="M4" s="85"/>
      <c r="N4" s="115">
        <v>6</v>
      </c>
      <c r="O4" s="85"/>
      <c r="P4" s="112"/>
      <c r="Q4" s="115">
        <v>7</v>
      </c>
      <c r="R4" s="85"/>
      <c r="S4" s="115">
        <v>9</v>
      </c>
      <c r="T4" s="101">
        <v>5</v>
      </c>
      <c r="U4" s="105">
        <f t="shared" si="1"/>
        <v>5.75</v>
      </c>
      <c r="V4" s="8">
        <f t="shared" si="2"/>
        <v>6</v>
      </c>
      <c r="W4" s="8">
        <v>7</v>
      </c>
      <c r="X4" s="8">
        <f aca="true" t="shared" si="3" ref="X4:X15">AVERAGE(V4:W4)</f>
        <v>6.5</v>
      </c>
      <c r="Y4" s="1" t="s">
        <v>32</v>
      </c>
      <c r="Z4" s="48">
        <f>COUNTIF(V3:V15,4)+COUNTIF(V3:V15,5)+COUNTIF(V3:V15,6)</f>
        <v>6</v>
      </c>
      <c r="AA4" s="47">
        <f>Z4/$B$15</f>
        <v>0.46153846153846156</v>
      </c>
    </row>
    <row r="5" spans="1:27" ht="12.75">
      <c r="A5" s="3">
        <f t="shared" si="0"/>
        <v>5.555555555555555</v>
      </c>
      <c r="B5" s="61">
        <v>3</v>
      </c>
      <c r="C5" s="37" t="s">
        <v>116</v>
      </c>
      <c r="D5" s="210">
        <v>12</v>
      </c>
      <c r="E5" s="83"/>
      <c r="F5" s="99">
        <v>6</v>
      </c>
      <c r="G5" s="83"/>
      <c r="H5" s="86">
        <v>6</v>
      </c>
      <c r="I5" s="87"/>
      <c r="J5" s="158">
        <v>7</v>
      </c>
      <c r="K5" s="87">
        <v>1</v>
      </c>
      <c r="L5" s="115">
        <v>6</v>
      </c>
      <c r="M5" s="87"/>
      <c r="N5" s="115">
        <v>4</v>
      </c>
      <c r="O5" s="85"/>
      <c r="P5" s="112"/>
      <c r="Q5" s="158">
        <v>4</v>
      </c>
      <c r="R5" s="87"/>
      <c r="S5" s="158">
        <v>7</v>
      </c>
      <c r="T5" s="101">
        <v>9</v>
      </c>
      <c r="U5" s="105">
        <f t="shared" si="1"/>
        <v>5.555555555555555</v>
      </c>
      <c r="V5" s="8">
        <f t="shared" si="2"/>
        <v>6</v>
      </c>
      <c r="W5" s="8">
        <v>5</v>
      </c>
      <c r="X5" s="8">
        <f t="shared" si="3"/>
        <v>5.5</v>
      </c>
      <c r="Y5" s="1" t="s">
        <v>33</v>
      </c>
      <c r="Z5" s="1">
        <f>COUNTIF(V3:V15,"&lt;4")</f>
        <v>0</v>
      </c>
      <c r="AA5" s="47">
        <f>Z5/$B$15</f>
        <v>0</v>
      </c>
    </row>
    <row r="6" spans="1:27" ht="12.75">
      <c r="A6" s="3">
        <f t="shared" si="0"/>
        <v>8.5</v>
      </c>
      <c r="B6" s="61">
        <v>4</v>
      </c>
      <c r="C6" s="2" t="s">
        <v>117</v>
      </c>
      <c r="D6" s="146">
        <v>3</v>
      </c>
      <c r="E6" s="83"/>
      <c r="F6" s="99">
        <v>8</v>
      </c>
      <c r="G6" s="83"/>
      <c r="H6" s="99">
        <v>9</v>
      </c>
      <c r="I6" s="87"/>
      <c r="J6" s="115">
        <v>9</v>
      </c>
      <c r="K6" s="85"/>
      <c r="L6" s="115">
        <v>9</v>
      </c>
      <c r="M6" s="85"/>
      <c r="N6" s="115">
        <v>6</v>
      </c>
      <c r="O6" s="87"/>
      <c r="P6" s="111"/>
      <c r="Q6" s="158">
        <v>9</v>
      </c>
      <c r="R6" s="85"/>
      <c r="S6" s="158">
        <v>9</v>
      </c>
      <c r="T6" s="101">
        <v>9</v>
      </c>
      <c r="U6" s="105">
        <f t="shared" si="1"/>
        <v>8.5</v>
      </c>
      <c r="V6" s="8">
        <f t="shared" si="2"/>
        <v>9</v>
      </c>
      <c r="W6" s="8">
        <v>9</v>
      </c>
      <c r="X6" s="8">
        <f t="shared" si="3"/>
        <v>9</v>
      </c>
      <c r="Y6" s="49" t="s">
        <v>34</v>
      </c>
      <c r="Z6" s="1">
        <f>B15-SUM(Z3:Z5)</f>
        <v>1</v>
      </c>
      <c r="AA6" s="47">
        <f>Z6/$B$15</f>
        <v>0.07692307692307693</v>
      </c>
    </row>
    <row r="7" spans="1:24" ht="12.75">
      <c r="A7" s="3">
        <f t="shared" si="0"/>
        <v>6.666666666666667</v>
      </c>
      <c r="B7" s="61">
        <v>5</v>
      </c>
      <c r="C7" s="37" t="s">
        <v>118</v>
      </c>
      <c r="D7" s="210">
        <v>6</v>
      </c>
      <c r="E7" s="83"/>
      <c r="F7" s="98">
        <v>6</v>
      </c>
      <c r="G7" s="83"/>
      <c r="H7" s="98">
        <v>7</v>
      </c>
      <c r="I7" s="88">
        <v>1</v>
      </c>
      <c r="J7" s="113">
        <v>7</v>
      </c>
      <c r="K7" s="85"/>
      <c r="L7" s="115">
        <v>4</v>
      </c>
      <c r="M7" s="85"/>
      <c r="N7" s="115">
        <v>9</v>
      </c>
      <c r="O7" s="85"/>
      <c r="P7" s="112"/>
      <c r="Q7" s="158">
        <v>10</v>
      </c>
      <c r="R7" s="85"/>
      <c r="S7" s="158">
        <v>10</v>
      </c>
      <c r="T7" s="101">
        <v>6</v>
      </c>
      <c r="U7" s="105">
        <f t="shared" si="1"/>
        <v>6.666666666666667</v>
      </c>
      <c r="V7" s="8">
        <f t="shared" si="2"/>
        <v>7</v>
      </c>
      <c r="W7" s="8">
        <v>7</v>
      </c>
      <c r="X7" s="8">
        <f t="shared" si="3"/>
        <v>7</v>
      </c>
    </row>
    <row r="8" spans="1:24" ht="12.75">
      <c r="A8" s="3">
        <f t="shared" si="0"/>
        <v>6.75</v>
      </c>
      <c r="B8" s="61">
        <v>6</v>
      </c>
      <c r="C8" s="2" t="s">
        <v>119</v>
      </c>
      <c r="D8" s="146">
        <v>2</v>
      </c>
      <c r="E8" s="83"/>
      <c r="F8" s="99">
        <v>8</v>
      </c>
      <c r="G8" s="83"/>
      <c r="H8" s="99">
        <v>6</v>
      </c>
      <c r="I8" s="87"/>
      <c r="J8" s="115">
        <v>6</v>
      </c>
      <c r="K8" s="85"/>
      <c r="L8" s="115">
        <v>7</v>
      </c>
      <c r="M8" s="85"/>
      <c r="N8" s="115">
        <v>7</v>
      </c>
      <c r="O8" s="85"/>
      <c r="P8" s="112"/>
      <c r="Q8" s="158">
        <v>6</v>
      </c>
      <c r="R8" s="85"/>
      <c r="S8" s="115">
        <v>7</v>
      </c>
      <c r="T8" s="101">
        <v>7</v>
      </c>
      <c r="U8" s="105">
        <f t="shared" si="1"/>
        <v>6.75</v>
      </c>
      <c r="V8" s="8">
        <f t="shared" si="2"/>
        <v>7</v>
      </c>
      <c r="W8" s="8">
        <v>5</v>
      </c>
      <c r="X8" s="8">
        <f t="shared" si="3"/>
        <v>6</v>
      </c>
    </row>
    <row r="9" spans="1:24" ht="12.75">
      <c r="A9" s="3">
        <f t="shared" si="0"/>
        <v>6</v>
      </c>
      <c r="B9" s="61">
        <v>7</v>
      </c>
      <c r="C9" s="151" t="s">
        <v>120</v>
      </c>
      <c r="D9" s="146">
        <v>8</v>
      </c>
      <c r="E9" s="83"/>
      <c r="F9" s="99">
        <v>5</v>
      </c>
      <c r="G9" s="83"/>
      <c r="H9" s="99">
        <v>9</v>
      </c>
      <c r="I9" s="85"/>
      <c r="J9" s="115">
        <v>4</v>
      </c>
      <c r="K9" s="85"/>
      <c r="L9" s="115">
        <v>6</v>
      </c>
      <c r="M9" s="85"/>
      <c r="N9" s="115">
        <v>5</v>
      </c>
      <c r="O9" s="85"/>
      <c r="P9" s="112"/>
      <c r="Q9" s="115">
        <v>6</v>
      </c>
      <c r="R9" s="85" t="s">
        <v>206</v>
      </c>
      <c r="S9" s="115">
        <v>6</v>
      </c>
      <c r="T9" s="101">
        <v>7</v>
      </c>
      <c r="U9" s="105">
        <f t="shared" si="1"/>
        <v>6</v>
      </c>
      <c r="V9" s="8">
        <f t="shared" si="2"/>
        <v>6</v>
      </c>
      <c r="W9" s="8">
        <v>6</v>
      </c>
      <c r="X9" s="8">
        <f t="shared" si="3"/>
        <v>6</v>
      </c>
    </row>
    <row r="10" spans="1:24" ht="12.75">
      <c r="A10" s="3">
        <f t="shared" si="0"/>
        <v>5.875</v>
      </c>
      <c r="B10" s="61">
        <v>8</v>
      </c>
      <c r="C10" s="2" t="s">
        <v>121</v>
      </c>
      <c r="D10" s="146" t="s">
        <v>273</v>
      </c>
      <c r="E10" s="83"/>
      <c r="F10" s="99">
        <v>4</v>
      </c>
      <c r="G10" s="83"/>
      <c r="H10" s="86">
        <v>7</v>
      </c>
      <c r="I10" s="87"/>
      <c r="J10" s="115">
        <v>4</v>
      </c>
      <c r="K10" s="87"/>
      <c r="L10" s="115">
        <v>7</v>
      </c>
      <c r="M10" s="85"/>
      <c r="N10" s="115">
        <v>5</v>
      </c>
      <c r="O10" s="85"/>
      <c r="P10" s="112"/>
      <c r="Q10" s="115">
        <v>6</v>
      </c>
      <c r="R10" s="85"/>
      <c r="S10" s="158">
        <v>6</v>
      </c>
      <c r="T10" s="101">
        <v>8</v>
      </c>
      <c r="U10" s="105">
        <f t="shared" si="1"/>
        <v>5.875</v>
      </c>
      <c r="V10" s="8">
        <f t="shared" si="2"/>
        <v>6</v>
      </c>
      <c r="W10" s="8">
        <v>5</v>
      </c>
      <c r="X10" s="8">
        <f t="shared" si="3"/>
        <v>5.5</v>
      </c>
    </row>
    <row r="11" spans="1:24" ht="12.75">
      <c r="A11" s="3">
        <f t="shared" si="0"/>
        <v>6.75</v>
      </c>
      <c r="B11" s="61">
        <v>9</v>
      </c>
      <c r="C11" s="2" t="s">
        <v>122</v>
      </c>
      <c r="D11" s="146" t="s">
        <v>176</v>
      </c>
      <c r="E11" s="83"/>
      <c r="F11" s="99">
        <v>6</v>
      </c>
      <c r="G11" s="83"/>
      <c r="H11" s="86">
        <v>6</v>
      </c>
      <c r="I11" s="87"/>
      <c r="J11" s="115">
        <v>5</v>
      </c>
      <c r="K11" s="85"/>
      <c r="L11" s="115">
        <v>7</v>
      </c>
      <c r="M11" s="85"/>
      <c r="N11" s="115">
        <v>9</v>
      </c>
      <c r="O11" s="87"/>
      <c r="P11" s="111"/>
      <c r="Q11" s="158">
        <v>7</v>
      </c>
      <c r="R11" s="85"/>
      <c r="S11" s="158">
        <v>9</v>
      </c>
      <c r="T11" s="101">
        <v>5</v>
      </c>
      <c r="U11" s="105">
        <f t="shared" si="1"/>
        <v>6.75</v>
      </c>
      <c r="V11" s="8">
        <f t="shared" si="2"/>
        <v>7</v>
      </c>
      <c r="W11" s="8">
        <v>7</v>
      </c>
      <c r="X11" s="8">
        <f t="shared" si="3"/>
        <v>7</v>
      </c>
    </row>
    <row r="12" spans="1:24" ht="12.75">
      <c r="A12" s="3">
        <f t="shared" si="0"/>
        <v>6.5</v>
      </c>
      <c r="B12" s="61">
        <v>10</v>
      </c>
      <c r="C12" s="2" t="s">
        <v>123</v>
      </c>
      <c r="D12" s="146">
        <v>4</v>
      </c>
      <c r="E12" s="83"/>
      <c r="F12" s="99">
        <v>7</v>
      </c>
      <c r="G12" s="83" t="s">
        <v>206</v>
      </c>
      <c r="H12" s="99">
        <v>7</v>
      </c>
      <c r="I12" s="85"/>
      <c r="J12" s="115">
        <v>9</v>
      </c>
      <c r="K12" s="85"/>
      <c r="L12" s="115">
        <v>9</v>
      </c>
      <c r="M12" s="85"/>
      <c r="N12" s="115">
        <v>4</v>
      </c>
      <c r="O12" s="85"/>
      <c r="P12" s="112"/>
      <c r="Q12" s="115">
        <v>6</v>
      </c>
      <c r="R12" s="85"/>
      <c r="S12" s="115">
        <v>6</v>
      </c>
      <c r="T12" s="101">
        <v>4</v>
      </c>
      <c r="U12" s="105">
        <f t="shared" si="1"/>
        <v>6.5</v>
      </c>
      <c r="V12" s="8">
        <f t="shared" si="2"/>
        <v>7</v>
      </c>
      <c r="W12" s="8">
        <v>7</v>
      </c>
      <c r="X12" s="8">
        <f t="shared" si="3"/>
        <v>7</v>
      </c>
    </row>
    <row r="13" spans="1:24" ht="12.75">
      <c r="A13" s="3">
        <f t="shared" si="0"/>
        <v>5.444444444444445</v>
      </c>
      <c r="B13" s="61">
        <v>11</v>
      </c>
      <c r="C13" s="2" t="s">
        <v>124</v>
      </c>
      <c r="D13" s="146" t="s">
        <v>271</v>
      </c>
      <c r="E13" s="83"/>
      <c r="F13" s="99">
        <v>4</v>
      </c>
      <c r="G13" s="83"/>
      <c r="H13" s="99">
        <v>8</v>
      </c>
      <c r="I13" s="85"/>
      <c r="J13" s="158">
        <v>6</v>
      </c>
      <c r="K13" s="87">
        <v>1</v>
      </c>
      <c r="L13" s="115">
        <v>6</v>
      </c>
      <c r="M13" s="87"/>
      <c r="N13" s="158">
        <v>4</v>
      </c>
      <c r="O13" s="87"/>
      <c r="P13" s="111"/>
      <c r="Q13" s="115">
        <v>4</v>
      </c>
      <c r="R13" s="87"/>
      <c r="S13" s="158">
        <v>7</v>
      </c>
      <c r="T13" s="101">
        <v>9</v>
      </c>
      <c r="U13" s="105">
        <f t="shared" si="1"/>
        <v>5.444444444444445</v>
      </c>
      <c r="V13" s="8">
        <v>6</v>
      </c>
      <c r="W13" s="8">
        <v>6</v>
      </c>
      <c r="X13" s="8">
        <f t="shared" si="3"/>
        <v>6</v>
      </c>
    </row>
    <row r="14" spans="1:24" ht="12.75">
      <c r="A14" s="3">
        <f t="shared" si="0"/>
        <v>6.5</v>
      </c>
      <c r="B14" s="61">
        <v>12</v>
      </c>
      <c r="C14" s="2" t="s">
        <v>125</v>
      </c>
      <c r="D14" s="146">
        <v>11</v>
      </c>
      <c r="E14" s="83"/>
      <c r="F14" s="99">
        <v>5</v>
      </c>
      <c r="G14" s="83"/>
      <c r="H14" s="99">
        <v>9</v>
      </c>
      <c r="I14" s="87"/>
      <c r="J14" s="115">
        <v>6</v>
      </c>
      <c r="K14" s="85"/>
      <c r="L14" s="115">
        <v>5</v>
      </c>
      <c r="M14" s="85"/>
      <c r="N14" s="115">
        <v>6</v>
      </c>
      <c r="O14" s="85"/>
      <c r="P14" s="112"/>
      <c r="Q14" s="115">
        <v>7</v>
      </c>
      <c r="R14" s="85"/>
      <c r="S14" s="115">
        <v>9</v>
      </c>
      <c r="T14" s="101">
        <v>5</v>
      </c>
      <c r="U14" s="105">
        <f t="shared" si="1"/>
        <v>6.5</v>
      </c>
      <c r="V14" s="8">
        <f>ROUND(U14,0)</f>
        <v>7</v>
      </c>
      <c r="W14" s="8">
        <v>6</v>
      </c>
      <c r="X14" s="8">
        <f t="shared" si="3"/>
        <v>6.5</v>
      </c>
    </row>
    <row r="15" spans="1:24" ht="12.75">
      <c r="A15" s="3">
        <f t="shared" si="0"/>
        <v>7.5</v>
      </c>
      <c r="B15" s="61">
        <v>13</v>
      </c>
      <c r="C15" s="2" t="s">
        <v>126</v>
      </c>
      <c r="D15" s="146" t="s">
        <v>272</v>
      </c>
      <c r="E15" s="83"/>
      <c r="F15" s="99">
        <v>9</v>
      </c>
      <c r="G15" s="83"/>
      <c r="H15" s="99">
        <v>9</v>
      </c>
      <c r="I15" s="87" t="s">
        <v>206</v>
      </c>
      <c r="J15" s="115">
        <v>6</v>
      </c>
      <c r="K15" s="85"/>
      <c r="L15" s="161">
        <v>6</v>
      </c>
      <c r="M15" s="85" t="s">
        <v>206</v>
      </c>
      <c r="N15" s="115">
        <v>9</v>
      </c>
      <c r="O15" s="85" t="s">
        <v>206</v>
      </c>
      <c r="P15" s="112"/>
      <c r="Q15" s="115">
        <v>7</v>
      </c>
      <c r="R15" s="85"/>
      <c r="S15" s="115">
        <v>9</v>
      </c>
      <c r="T15" s="101">
        <v>5</v>
      </c>
      <c r="U15" s="105">
        <f t="shared" si="1"/>
        <v>7.5</v>
      </c>
      <c r="V15" s="8">
        <f>ROUND(U15,0)</f>
        <v>8</v>
      </c>
      <c r="W15" s="8">
        <v>6</v>
      </c>
      <c r="X15" s="8">
        <f t="shared" si="3"/>
        <v>7</v>
      </c>
    </row>
    <row r="16" spans="2:24" s="5" customFormat="1" ht="12.75">
      <c r="B16" s="232" t="s">
        <v>0</v>
      </c>
      <c r="C16" s="233"/>
      <c r="D16" s="233"/>
      <c r="E16" s="89"/>
      <c r="F16" s="90">
        <f>AVERAGE(F3:F15)</f>
        <v>5.846153846153846</v>
      </c>
      <c r="G16" s="89"/>
      <c r="H16" s="90">
        <f>AVERAGE(H3:H15)</f>
        <v>7.3076923076923075</v>
      </c>
      <c r="I16" s="89"/>
      <c r="J16" s="114">
        <f>AVERAGE(J3:J15)</f>
        <v>5.923076923076923</v>
      </c>
      <c r="K16" s="34"/>
      <c r="L16" s="34">
        <f>AVERAGE(L3:L15)</f>
        <v>6.3076923076923075</v>
      </c>
      <c r="M16" s="102"/>
      <c r="N16" s="153">
        <f>AVERAGE(N3:N15)</f>
        <v>6.384615384615385</v>
      </c>
      <c r="O16" s="123"/>
      <c r="P16" s="150"/>
      <c r="Q16" s="153">
        <f>AVERAGE(Q3:Q15)</f>
        <v>6.846153846153846</v>
      </c>
      <c r="R16" s="123"/>
      <c r="S16" s="163">
        <f aca="true" t="shared" si="4" ref="S16:X16">AVERAGE(S3:S15)</f>
        <v>8</v>
      </c>
      <c r="T16" s="140">
        <f t="shared" si="4"/>
        <v>6.538461538461538</v>
      </c>
      <c r="U16" s="102">
        <f t="shared" si="4"/>
        <v>6.454059829059829</v>
      </c>
      <c r="V16" s="34">
        <f t="shared" si="4"/>
        <v>6.769230769230769</v>
      </c>
      <c r="W16" s="34">
        <f t="shared" si="4"/>
        <v>6.3076923076923075</v>
      </c>
      <c r="X16" s="34">
        <f t="shared" si="4"/>
        <v>6.538461538461538</v>
      </c>
    </row>
    <row r="17" spans="2:24" s="5" customFormat="1" ht="13.5" thickBot="1">
      <c r="B17" s="232"/>
      <c r="C17" s="233"/>
      <c r="D17" s="233"/>
      <c r="E17" s="234" t="s">
        <v>179</v>
      </c>
      <c r="F17" s="235"/>
      <c r="G17" s="234" t="s">
        <v>180</v>
      </c>
      <c r="H17" s="235"/>
      <c r="I17" s="234" t="s">
        <v>181</v>
      </c>
      <c r="J17" s="235"/>
      <c r="K17" s="240" t="s">
        <v>182</v>
      </c>
      <c r="L17" s="241"/>
      <c r="M17" s="234" t="s">
        <v>183</v>
      </c>
      <c r="N17" s="236"/>
      <c r="O17" s="247" t="s">
        <v>184</v>
      </c>
      <c r="P17" s="236"/>
      <c r="Q17" s="248"/>
      <c r="R17" s="247" t="s">
        <v>185</v>
      </c>
      <c r="S17" s="248"/>
      <c r="T17" s="165" t="s">
        <v>186</v>
      </c>
      <c r="U17" s="96"/>
      <c r="V17" s="9"/>
      <c r="W17"/>
      <c r="X17"/>
    </row>
    <row r="18" spans="2:22" ht="12.75">
      <c r="B18" s="244" t="s">
        <v>46</v>
      </c>
      <c r="C18" s="245"/>
      <c r="D18" s="246"/>
      <c r="E18" s="225" t="s">
        <v>22</v>
      </c>
      <c r="F18" s="226"/>
      <c r="G18" s="226"/>
      <c r="H18" s="226"/>
      <c r="I18" s="226"/>
      <c r="J18" s="226"/>
      <c r="K18" s="226"/>
      <c r="L18" s="226"/>
      <c r="M18" s="238"/>
      <c r="N18" s="238"/>
      <c r="O18" s="238"/>
      <c r="P18" s="238"/>
      <c r="Q18" s="238"/>
      <c r="R18" s="238"/>
      <c r="S18" s="238"/>
      <c r="T18" s="238"/>
      <c r="U18" s="35">
        <f>V18/B15</f>
        <v>1</v>
      </c>
      <c r="V18" s="8">
        <f>COUNTIF(V3:V15,"&gt;3")</f>
        <v>13</v>
      </c>
    </row>
    <row r="19" spans="2:22" ht="12.75">
      <c r="B19" s="244" t="s">
        <v>47</v>
      </c>
      <c r="C19" s="245"/>
      <c r="D19" s="246"/>
      <c r="E19" s="13"/>
      <c r="F19" s="4"/>
      <c r="G19" s="13"/>
      <c r="H19" s="4"/>
      <c r="I19" s="4"/>
      <c r="J19" s="4"/>
      <c r="K19" s="4"/>
      <c r="L19" s="4"/>
      <c r="M19" s="4"/>
      <c r="N19" s="4"/>
      <c r="O19" s="13"/>
      <c r="P19" s="13"/>
      <c r="Q19" s="4"/>
      <c r="R19" s="4"/>
      <c r="S19" s="4"/>
      <c r="T19" s="4"/>
      <c r="U19" s="35">
        <f>V19/B15</f>
        <v>0.5384615384615384</v>
      </c>
      <c r="V19" s="8">
        <f>COUNTIF(V3:V15,"&gt;6")</f>
        <v>7</v>
      </c>
    </row>
    <row r="21" ht="12.75">
      <c r="C21" t="s">
        <v>189</v>
      </c>
    </row>
    <row r="23" spans="25:27" ht="12.75">
      <c r="Y23" s="54"/>
      <c r="Z23" s="54"/>
      <c r="AA23" s="3"/>
    </row>
    <row r="25" spans="23:24" ht="12.75">
      <c r="W25" s="3"/>
      <c r="X25" s="203"/>
    </row>
    <row r="26" spans="23:24" ht="12.75">
      <c r="W26" s="3"/>
      <c r="X26" s="203"/>
    </row>
    <row r="27" spans="23:24" ht="12.75">
      <c r="W27" s="3"/>
      <c r="X27" s="203"/>
    </row>
    <row r="28" spans="23:24" ht="12.75">
      <c r="W28" s="3"/>
      <c r="X28" s="203"/>
    </row>
    <row r="29" spans="23:24" ht="12.75">
      <c r="W29" s="3"/>
      <c r="X29" s="203"/>
    </row>
    <row r="30" spans="23:24" ht="12.75">
      <c r="W30" s="3"/>
      <c r="X30" s="203"/>
    </row>
    <row r="31" spans="23:24" ht="12.75">
      <c r="W31" s="3"/>
      <c r="X31" s="203"/>
    </row>
    <row r="32" spans="23:24" ht="12.75">
      <c r="W32" s="3"/>
      <c r="X32" s="203"/>
    </row>
  </sheetData>
  <sheetProtection/>
  <mergeCells count="13">
    <mergeCell ref="B19:D19"/>
    <mergeCell ref="K17:L17"/>
    <mergeCell ref="M17:N17"/>
    <mergeCell ref="O17:Q17"/>
    <mergeCell ref="B18:D18"/>
    <mergeCell ref="E18:T18"/>
    <mergeCell ref="R17:S17"/>
    <mergeCell ref="C1:J1"/>
    <mergeCell ref="B16:D16"/>
    <mergeCell ref="B17:D17"/>
    <mergeCell ref="E17:F17"/>
    <mergeCell ref="G17:H17"/>
    <mergeCell ref="I17:J17"/>
  </mergeCells>
  <conditionalFormatting sqref="V3:X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U3:U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zoomScale="95" zoomScaleNormal="95" workbookViewId="0" topLeftCell="B13">
      <selection activeCell="N19" sqref="N19"/>
    </sheetView>
  </sheetViews>
  <sheetFormatPr defaultColWidth="9.00390625" defaultRowHeight="12.75"/>
  <cols>
    <col min="1" max="1" width="5.25390625" style="0" hidden="1" customWidth="1"/>
    <col min="2" max="2" width="4.375" style="0" customWidth="1"/>
    <col min="3" max="3" width="23.25390625" style="0" customWidth="1"/>
    <col min="4" max="4" width="8.875" style="0" customWidth="1"/>
    <col min="5" max="6" width="6.00390625" style="0" customWidth="1"/>
    <col min="7" max="7" width="5.375" style="0" customWidth="1"/>
    <col min="8" max="8" width="5.625" style="0" customWidth="1"/>
    <col min="9" max="11" width="5.875" style="0" bestFit="1" customWidth="1"/>
    <col min="12" max="12" width="5.75390625" style="0" customWidth="1"/>
    <col min="13" max="13" width="6.875" style="0" customWidth="1"/>
    <col min="14" max="14" width="9.25390625" style="3" bestFit="1" customWidth="1"/>
    <col min="15" max="15" width="9.25390625" style="10" bestFit="1" customWidth="1"/>
    <col min="17" max="18" width="9.25390625" style="0" bestFit="1" customWidth="1"/>
  </cols>
  <sheetData>
    <row r="1" spans="3:27" ht="13.5" thickBot="1">
      <c r="C1" s="231" t="s">
        <v>190</v>
      </c>
      <c r="D1" s="231"/>
      <c r="E1" s="231"/>
      <c r="F1" s="231"/>
      <c r="G1" s="231"/>
      <c r="H1" s="231"/>
      <c r="I1" s="231"/>
      <c r="J1" s="231"/>
      <c r="K1" s="62"/>
      <c r="L1" s="62"/>
      <c r="M1" s="62"/>
      <c r="N1" s="62"/>
      <c r="O1" s="62"/>
      <c r="P1" s="33"/>
      <c r="Q1" s="33"/>
      <c r="R1" s="33"/>
      <c r="S1" s="33"/>
      <c r="T1" s="33"/>
      <c r="U1" s="33"/>
      <c r="V1" s="64"/>
      <c r="W1" s="65"/>
      <c r="Z1" s="14"/>
      <c r="AA1" s="15"/>
    </row>
    <row r="2" spans="2:23" ht="16.5" customHeight="1" thickBot="1">
      <c r="B2" s="66" t="s">
        <v>73</v>
      </c>
      <c r="C2" s="67" t="s">
        <v>26</v>
      </c>
      <c r="D2" s="68" t="s">
        <v>74</v>
      </c>
      <c r="E2" s="81">
        <v>42046</v>
      </c>
      <c r="F2" s="82">
        <v>42047</v>
      </c>
      <c r="G2" s="81">
        <v>42053</v>
      </c>
      <c r="H2" s="82">
        <v>42061</v>
      </c>
      <c r="I2" s="81">
        <v>42089</v>
      </c>
      <c r="J2" s="82">
        <v>42145</v>
      </c>
      <c r="K2" s="81"/>
      <c r="L2" s="82">
        <v>42159</v>
      </c>
      <c r="M2" s="166">
        <v>42172</v>
      </c>
      <c r="N2" s="69" t="s">
        <v>24</v>
      </c>
      <c r="O2" s="70" t="s">
        <v>178</v>
      </c>
      <c r="P2" s="33"/>
      <c r="Q2" s="33"/>
      <c r="R2" s="33"/>
      <c r="S2" s="33"/>
      <c r="T2" s="33"/>
      <c r="U2" s="33"/>
      <c r="V2" s="33"/>
      <c r="W2" s="33"/>
    </row>
    <row r="3" spans="1:18" ht="12.75">
      <c r="A3" s="3">
        <f aca="true" t="shared" si="0" ref="A3:A15">N3</f>
        <v>8.833333333333334</v>
      </c>
      <c r="B3" s="37">
        <v>1</v>
      </c>
      <c r="C3" s="37" t="s">
        <v>114</v>
      </c>
      <c r="D3" s="210" t="s">
        <v>274</v>
      </c>
      <c r="E3" s="83"/>
      <c r="F3" s="84">
        <v>8</v>
      </c>
      <c r="G3" s="88"/>
      <c r="H3" s="84">
        <v>10</v>
      </c>
      <c r="I3" s="88"/>
      <c r="J3" s="84">
        <v>9</v>
      </c>
      <c r="K3" s="88">
        <v>8</v>
      </c>
      <c r="L3" s="84">
        <v>8</v>
      </c>
      <c r="M3" s="167">
        <v>10</v>
      </c>
      <c r="N3" s="95">
        <f aca="true" t="shared" si="1" ref="N3:N15">AVERAGE(E3:M3)</f>
        <v>8.833333333333334</v>
      </c>
      <c r="O3" s="36">
        <f aca="true" t="shared" si="2" ref="O3:O15">ROUND(N3,0)</f>
        <v>9</v>
      </c>
      <c r="P3" s="1" t="s">
        <v>30</v>
      </c>
      <c r="Q3" s="1">
        <f>COUNTIF(O3:O29,"&gt;8")</f>
        <v>16</v>
      </c>
      <c r="R3" s="47">
        <f>Q3/$B$29</f>
        <v>0.6153846153846154</v>
      </c>
    </row>
    <row r="4" spans="1:18" ht="12.75">
      <c r="A4" s="3">
        <f t="shared" si="0"/>
        <v>7</v>
      </c>
      <c r="B4" s="2">
        <v>2</v>
      </c>
      <c r="C4" s="2" t="s">
        <v>115</v>
      </c>
      <c r="D4" s="146" t="s">
        <v>275</v>
      </c>
      <c r="E4" s="85"/>
      <c r="F4" s="86">
        <v>6</v>
      </c>
      <c r="G4" s="87"/>
      <c r="H4" s="86">
        <v>4</v>
      </c>
      <c r="I4" s="87"/>
      <c r="J4" s="86">
        <v>9</v>
      </c>
      <c r="K4" s="87">
        <v>7</v>
      </c>
      <c r="L4" s="86">
        <v>9</v>
      </c>
      <c r="M4" s="92">
        <v>7</v>
      </c>
      <c r="N4" s="95">
        <f t="shared" si="1"/>
        <v>7</v>
      </c>
      <c r="O4" s="36">
        <f t="shared" si="2"/>
        <v>7</v>
      </c>
      <c r="P4" s="1" t="s">
        <v>31</v>
      </c>
      <c r="Q4" s="48">
        <f>COUNTIF(O3:O29,7)+COUNTIF(O3:O29,8)</f>
        <v>8</v>
      </c>
      <c r="R4" s="47">
        <f>Q4/$B$29</f>
        <v>0.3076923076923077</v>
      </c>
    </row>
    <row r="5" spans="1:18" ht="12.75">
      <c r="A5" s="3">
        <f t="shared" si="0"/>
        <v>8.166666666666666</v>
      </c>
      <c r="B5" s="2">
        <v>3</v>
      </c>
      <c r="C5" s="2" t="s">
        <v>116</v>
      </c>
      <c r="D5" s="146">
        <v>12</v>
      </c>
      <c r="E5" s="85"/>
      <c r="F5" s="86">
        <v>9</v>
      </c>
      <c r="G5" s="87" t="s">
        <v>206</v>
      </c>
      <c r="H5" s="86">
        <v>6</v>
      </c>
      <c r="I5" s="87"/>
      <c r="J5" s="86">
        <v>8</v>
      </c>
      <c r="K5" s="87">
        <v>9</v>
      </c>
      <c r="L5" s="86">
        <v>8</v>
      </c>
      <c r="M5" s="92">
        <v>9</v>
      </c>
      <c r="N5" s="95">
        <f t="shared" si="1"/>
        <v>8.166666666666666</v>
      </c>
      <c r="O5" s="36">
        <f t="shared" si="2"/>
        <v>8</v>
      </c>
      <c r="P5" s="1" t="s">
        <v>32</v>
      </c>
      <c r="Q5" s="48">
        <f>COUNTIF(O3:O29,4)+COUNTIF(O3:O29,5)+COUNTIF(O3:O29,6)</f>
        <v>2</v>
      </c>
      <c r="R5" s="47">
        <f>Q5/$B$29</f>
        <v>0.07692307692307693</v>
      </c>
    </row>
    <row r="6" spans="1:18" ht="12.75">
      <c r="A6" s="3">
        <f t="shared" si="0"/>
        <v>8</v>
      </c>
      <c r="B6" s="2">
        <v>4</v>
      </c>
      <c r="C6" s="2" t="s">
        <v>117</v>
      </c>
      <c r="D6" s="146">
        <v>3</v>
      </c>
      <c r="E6" s="87"/>
      <c r="F6" s="86">
        <v>7</v>
      </c>
      <c r="G6" s="87"/>
      <c r="H6" s="86">
        <v>8</v>
      </c>
      <c r="I6" s="87"/>
      <c r="J6" s="86">
        <v>5</v>
      </c>
      <c r="K6" s="87">
        <v>10</v>
      </c>
      <c r="L6" s="86">
        <v>9</v>
      </c>
      <c r="M6" s="92">
        <v>9</v>
      </c>
      <c r="N6" s="95">
        <f t="shared" si="1"/>
        <v>8</v>
      </c>
      <c r="O6" s="36">
        <f t="shared" si="2"/>
        <v>8</v>
      </c>
      <c r="P6" s="1" t="s">
        <v>33</v>
      </c>
      <c r="Q6" s="1">
        <f>COUNTIF(O3:O29,"&lt;4")</f>
        <v>0</v>
      </c>
      <c r="R6" s="47">
        <f>Q6/$B$29</f>
        <v>0</v>
      </c>
    </row>
    <row r="7" spans="1:18" ht="12.75">
      <c r="A7" s="3">
        <f t="shared" si="0"/>
        <v>7.666666666666667</v>
      </c>
      <c r="B7" s="2">
        <v>5</v>
      </c>
      <c r="C7" s="2" t="s">
        <v>118</v>
      </c>
      <c r="D7" s="146">
        <v>6</v>
      </c>
      <c r="E7" s="87"/>
      <c r="F7" s="86">
        <v>5</v>
      </c>
      <c r="G7" s="87"/>
      <c r="H7" s="86">
        <v>7</v>
      </c>
      <c r="I7" s="87"/>
      <c r="J7" s="99">
        <v>10</v>
      </c>
      <c r="K7" s="87">
        <v>8</v>
      </c>
      <c r="L7" s="86">
        <v>7</v>
      </c>
      <c r="M7" s="92">
        <v>9</v>
      </c>
      <c r="N7" s="95">
        <f t="shared" si="1"/>
        <v>7.666666666666667</v>
      </c>
      <c r="O7" s="36">
        <f t="shared" si="2"/>
        <v>8</v>
      </c>
      <c r="P7" s="49" t="s">
        <v>34</v>
      </c>
      <c r="Q7" s="1">
        <f>B29-SUM(Q3:Q6)</f>
        <v>0</v>
      </c>
      <c r="R7" s="47">
        <f>Q7/$B$29</f>
        <v>0</v>
      </c>
    </row>
    <row r="8" spans="1:15" ht="12.75">
      <c r="A8" s="3">
        <f t="shared" si="0"/>
        <v>8.666666666666666</v>
      </c>
      <c r="B8" s="2">
        <v>6</v>
      </c>
      <c r="C8" s="2" t="s">
        <v>119</v>
      </c>
      <c r="D8" s="146">
        <v>2</v>
      </c>
      <c r="E8" s="87"/>
      <c r="F8" s="86">
        <v>5</v>
      </c>
      <c r="G8" s="87" t="s">
        <v>206</v>
      </c>
      <c r="H8" s="86">
        <v>7</v>
      </c>
      <c r="I8" s="87"/>
      <c r="J8" s="86">
        <v>10</v>
      </c>
      <c r="K8" s="87">
        <v>10</v>
      </c>
      <c r="L8" s="86">
        <v>10</v>
      </c>
      <c r="M8" s="92">
        <v>10</v>
      </c>
      <c r="N8" s="95">
        <f t="shared" si="1"/>
        <v>8.666666666666666</v>
      </c>
      <c r="O8" s="8">
        <f t="shared" si="2"/>
        <v>9</v>
      </c>
    </row>
    <row r="9" spans="1:15" ht="12.75">
      <c r="A9" s="3">
        <f t="shared" si="0"/>
        <v>8.833333333333334</v>
      </c>
      <c r="B9" s="2">
        <v>7</v>
      </c>
      <c r="C9" s="2" t="s">
        <v>120</v>
      </c>
      <c r="D9" s="146">
        <v>8</v>
      </c>
      <c r="E9" s="87"/>
      <c r="F9" s="86">
        <v>7</v>
      </c>
      <c r="G9" s="87"/>
      <c r="H9" s="86">
        <v>9</v>
      </c>
      <c r="I9" s="87"/>
      <c r="J9" s="86">
        <v>9</v>
      </c>
      <c r="K9" s="87">
        <v>10</v>
      </c>
      <c r="L9" s="86">
        <v>9</v>
      </c>
      <c r="M9" s="101">
        <v>9</v>
      </c>
      <c r="N9" s="95">
        <f t="shared" si="1"/>
        <v>8.833333333333334</v>
      </c>
      <c r="O9" s="8">
        <f t="shared" si="2"/>
        <v>9</v>
      </c>
    </row>
    <row r="10" spans="1:15" ht="12.75">
      <c r="A10" s="3">
        <f t="shared" si="0"/>
        <v>9</v>
      </c>
      <c r="B10" s="2">
        <v>8</v>
      </c>
      <c r="C10" s="2" t="s">
        <v>121</v>
      </c>
      <c r="D10" s="146" t="s">
        <v>273</v>
      </c>
      <c r="E10" s="85"/>
      <c r="F10" s="86">
        <v>10</v>
      </c>
      <c r="G10" s="87"/>
      <c r="H10" s="86">
        <v>10</v>
      </c>
      <c r="I10" s="87"/>
      <c r="J10" s="86">
        <v>6</v>
      </c>
      <c r="K10" s="87">
        <v>10</v>
      </c>
      <c r="L10" s="86">
        <v>9</v>
      </c>
      <c r="M10" s="101">
        <v>9</v>
      </c>
      <c r="N10" s="95">
        <f t="shared" si="1"/>
        <v>9</v>
      </c>
      <c r="O10" s="8">
        <f t="shared" si="2"/>
        <v>9</v>
      </c>
    </row>
    <row r="11" spans="1:15" ht="12.75">
      <c r="A11" s="3">
        <f t="shared" si="0"/>
        <v>9.333333333333334</v>
      </c>
      <c r="B11" s="2">
        <v>9</v>
      </c>
      <c r="C11" s="2" t="s">
        <v>122</v>
      </c>
      <c r="D11" s="146" t="s">
        <v>176</v>
      </c>
      <c r="E11" s="85"/>
      <c r="F11" s="86">
        <v>9</v>
      </c>
      <c r="G11" s="87" t="s">
        <v>206</v>
      </c>
      <c r="H11" s="86">
        <v>9</v>
      </c>
      <c r="I11" s="87"/>
      <c r="J11" s="86">
        <v>9</v>
      </c>
      <c r="K11" s="87">
        <v>10</v>
      </c>
      <c r="L11" s="86">
        <v>9</v>
      </c>
      <c r="M11" s="101">
        <v>10</v>
      </c>
      <c r="N11" s="95">
        <f t="shared" si="1"/>
        <v>9.333333333333334</v>
      </c>
      <c r="O11" s="8">
        <v>10</v>
      </c>
    </row>
    <row r="12" spans="1:15" ht="12.75">
      <c r="A12" s="3">
        <f t="shared" si="0"/>
        <v>8.5</v>
      </c>
      <c r="B12" s="2">
        <v>10</v>
      </c>
      <c r="C12" s="2" t="s">
        <v>123</v>
      </c>
      <c r="D12" s="146">
        <v>4</v>
      </c>
      <c r="E12" s="85"/>
      <c r="F12" s="99">
        <v>7</v>
      </c>
      <c r="G12" s="87"/>
      <c r="H12" s="86">
        <v>8</v>
      </c>
      <c r="I12" s="87"/>
      <c r="J12" s="86">
        <v>9</v>
      </c>
      <c r="K12" s="87">
        <v>10</v>
      </c>
      <c r="L12" s="86">
        <v>7</v>
      </c>
      <c r="M12" s="92">
        <v>10</v>
      </c>
      <c r="N12" s="95">
        <f t="shared" si="1"/>
        <v>8.5</v>
      </c>
      <c r="O12" s="8">
        <f t="shared" si="2"/>
        <v>9</v>
      </c>
    </row>
    <row r="13" spans="1:20" ht="12.75">
      <c r="A13" s="3">
        <f t="shared" si="0"/>
        <v>6.285714285714286</v>
      </c>
      <c r="B13" s="2">
        <v>11</v>
      </c>
      <c r="C13" s="2" t="s">
        <v>124</v>
      </c>
      <c r="D13" s="146" t="s">
        <v>271</v>
      </c>
      <c r="E13" s="87">
        <v>1</v>
      </c>
      <c r="F13" s="99">
        <v>4</v>
      </c>
      <c r="G13" s="85"/>
      <c r="H13" s="86">
        <v>5</v>
      </c>
      <c r="I13" s="85"/>
      <c r="J13" s="86">
        <v>8</v>
      </c>
      <c r="K13" s="87">
        <v>9</v>
      </c>
      <c r="L13" s="86">
        <v>8</v>
      </c>
      <c r="M13" s="92">
        <v>9</v>
      </c>
      <c r="N13" s="95">
        <f t="shared" si="1"/>
        <v>6.285714285714286</v>
      </c>
      <c r="O13" s="8">
        <f t="shared" si="2"/>
        <v>6</v>
      </c>
      <c r="R13" s="3"/>
      <c r="S13" s="3"/>
      <c r="T13" s="3"/>
    </row>
    <row r="14" spans="1:15" ht="12.75">
      <c r="A14" s="3">
        <f t="shared" si="0"/>
        <v>8.5</v>
      </c>
      <c r="B14" s="2">
        <v>12</v>
      </c>
      <c r="C14" s="2" t="s">
        <v>125</v>
      </c>
      <c r="D14" s="146">
        <v>11</v>
      </c>
      <c r="E14" s="87"/>
      <c r="F14" s="86">
        <v>9</v>
      </c>
      <c r="G14" s="87"/>
      <c r="H14" s="86">
        <v>8</v>
      </c>
      <c r="I14" s="87"/>
      <c r="J14" s="99">
        <v>10</v>
      </c>
      <c r="K14" s="87">
        <v>7</v>
      </c>
      <c r="L14" s="86">
        <v>8</v>
      </c>
      <c r="M14" s="101">
        <v>9</v>
      </c>
      <c r="N14" s="95">
        <f t="shared" si="1"/>
        <v>8.5</v>
      </c>
      <c r="O14" s="8">
        <f t="shared" si="2"/>
        <v>9</v>
      </c>
    </row>
    <row r="15" spans="1:15" ht="13.5" thickBot="1">
      <c r="A15" s="3">
        <f t="shared" si="0"/>
        <v>9.5</v>
      </c>
      <c r="B15" s="2">
        <v>13</v>
      </c>
      <c r="C15" s="2" t="s">
        <v>126</v>
      </c>
      <c r="D15" s="146" t="s">
        <v>272</v>
      </c>
      <c r="E15" s="87"/>
      <c r="F15" s="86">
        <v>9</v>
      </c>
      <c r="G15" s="87"/>
      <c r="H15" s="86">
        <v>10</v>
      </c>
      <c r="I15" s="87"/>
      <c r="J15" s="86">
        <v>10</v>
      </c>
      <c r="K15" s="87">
        <v>10</v>
      </c>
      <c r="L15" s="86">
        <v>9</v>
      </c>
      <c r="M15" s="169">
        <v>9</v>
      </c>
      <c r="N15" s="95">
        <f t="shared" si="1"/>
        <v>9.5</v>
      </c>
      <c r="O15" s="8">
        <f t="shared" si="2"/>
        <v>10</v>
      </c>
    </row>
    <row r="16" spans="2:23" ht="16.5" customHeight="1" thickBot="1">
      <c r="B16" s="66" t="s">
        <v>73</v>
      </c>
      <c r="C16" s="67" t="s">
        <v>26</v>
      </c>
      <c r="D16" s="215" t="s">
        <v>74</v>
      </c>
      <c r="E16" s="81">
        <v>42046</v>
      </c>
      <c r="F16" s="82">
        <v>42051</v>
      </c>
      <c r="G16" s="81">
        <v>42060</v>
      </c>
      <c r="H16" s="82">
        <v>42081</v>
      </c>
      <c r="I16" s="81">
        <v>42095</v>
      </c>
      <c r="J16" s="82">
        <v>42158</v>
      </c>
      <c r="K16" s="81"/>
      <c r="L16" s="82">
        <v>42165</v>
      </c>
      <c r="M16" s="168">
        <v>42173</v>
      </c>
      <c r="N16" s="69" t="s">
        <v>24</v>
      </c>
      <c r="O16" s="70" t="s">
        <v>178</v>
      </c>
      <c r="P16" s="33"/>
      <c r="Q16" s="33"/>
      <c r="R16" s="33"/>
      <c r="S16" s="33"/>
      <c r="T16" s="33"/>
      <c r="U16" s="33"/>
      <c r="V16" s="33"/>
      <c r="W16" s="33"/>
    </row>
    <row r="17" spans="1:15" ht="12.75">
      <c r="A17" s="3">
        <f aca="true" t="shared" si="3" ref="A17:A29">N17</f>
        <v>8.714285714285714</v>
      </c>
      <c r="B17" s="37">
        <v>14</v>
      </c>
      <c r="C17" s="37" t="s">
        <v>225</v>
      </c>
      <c r="D17" s="210">
        <v>2</v>
      </c>
      <c r="E17" s="88"/>
      <c r="F17" s="84">
        <v>9</v>
      </c>
      <c r="G17" s="88"/>
      <c r="H17" s="84">
        <v>10</v>
      </c>
      <c r="I17" s="88">
        <v>2</v>
      </c>
      <c r="J17" s="84">
        <v>10</v>
      </c>
      <c r="K17" s="88">
        <v>10</v>
      </c>
      <c r="L17" s="84">
        <v>10</v>
      </c>
      <c r="M17" s="167">
        <v>10</v>
      </c>
      <c r="N17" s="95">
        <f aca="true" t="shared" si="4" ref="N17:N29">AVERAGE(E17:M17)</f>
        <v>8.714285714285714</v>
      </c>
      <c r="O17" s="36">
        <f aca="true" t="shared" si="5" ref="O17:O29">ROUND(N17,0)</f>
        <v>9</v>
      </c>
    </row>
    <row r="18" spans="1:15" ht="12.75">
      <c r="A18" s="3">
        <f t="shared" si="3"/>
        <v>7.833333333333333</v>
      </c>
      <c r="B18" s="37">
        <v>15</v>
      </c>
      <c r="C18" s="37" t="s">
        <v>226</v>
      </c>
      <c r="D18" s="210">
        <v>3</v>
      </c>
      <c r="E18" s="88"/>
      <c r="F18" s="84">
        <v>8</v>
      </c>
      <c r="G18" s="88"/>
      <c r="H18" s="98">
        <v>10</v>
      </c>
      <c r="I18" s="88"/>
      <c r="J18" s="84">
        <v>6</v>
      </c>
      <c r="K18" s="88">
        <v>8</v>
      </c>
      <c r="L18" s="84">
        <v>9</v>
      </c>
      <c r="M18" s="92">
        <v>6</v>
      </c>
      <c r="N18" s="95">
        <f t="shared" si="4"/>
        <v>7.833333333333333</v>
      </c>
      <c r="O18" s="36">
        <f t="shared" si="5"/>
        <v>8</v>
      </c>
    </row>
    <row r="19" spans="1:15" ht="12.75">
      <c r="A19" s="3">
        <f t="shared" si="3"/>
        <v>9.5</v>
      </c>
      <c r="B19" s="37">
        <v>16</v>
      </c>
      <c r="C19" s="37" t="s">
        <v>227</v>
      </c>
      <c r="D19" s="210">
        <v>4</v>
      </c>
      <c r="E19" s="87"/>
      <c r="F19" s="86">
        <v>9</v>
      </c>
      <c r="G19" s="87"/>
      <c r="H19" s="86">
        <v>9</v>
      </c>
      <c r="I19" s="87"/>
      <c r="J19" s="86">
        <v>10</v>
      </c>
      <c r="K19" s="87">
        <v>10</v>
      </c>
      <c r="L19" s="99">
        <v>10</v>
      </c>
      <c r="M19" s="92">
        <v>9</v>
      </c>
      <c r="N19" s="95">
        <f t="shared" si="4"/>
        <v>9.5</v>
      </c>
      <c r="O19" s="36">
        <f t="shared" si="5"/>
        <v>10</v>
      </c>
    </row>
    <row r="20" spans="1:15" ht="12.75">
      <c r="A20" s="3">
        <f t="shared" si="3"/>
        <v>7.5</v>
      </c>
      <c r="B20" s="37">
        <v>17</v>
      </c>
      <c r="C20" s="2" t="s">
        <v>228</v>
      </c>
      <c r="D20" s="146">
        <v>5</v>
      </c>
      <c r="E20" s="87"/>
      <c r="F20" s="86">
        <v>4</v>
      </c>
      <c r="G20" s="87"/>
      <c r="H20" s="86">
        <v>7</v>
      </c>
      <c r="I20" s="87"/>
      <c r="J20" s="86">
        <v>8</v>
      </c>
      <c r="K20" s="87">
        <v>8</v>
      </c>
      <c r="L20" s="99">
        <v>9</v>
      </c>
      <c r="M20" s="92">
        <v>9</v>
      </c>
      <c r="N20" s="95">
        <f t="shared" si="4"/>
        <v>7.5</v>
      </c>
      <c r="O20" s="36">
        <f t="shared" si="5"/>
        <v>8</v>
      </c>
    </row>
    <row r="21" spans="1:15" ht="12.75">
      <c r="A21" s="3">
        <f t="shared" si="3"/>
        <v>8.833333333333334</v>
      </c>
      <c r="B21" s="37">
        <v>18</v>
      </c>
      <c r="C21" s="2" t="s">
        <v>229</v>
      </c>
      <c r="D21" s="146">
        <v>6</v>
      </c>
      <c r="E21" s="87" t="s">
        <v>206</v>
      </c>
      <c r="F21" s="86">
        <v>9</v>
      </c>
      <c r="G21" s="87"/>
      <c r="H21" s="86">
        <v>8</v>
      </c>
      <c r="I21" s="87"/>
      <c r="J21" s="86">
        <v>10</v>
      </c>
      <c r="K21" s="87">
        <v>9</v>
      </c>
      <c r="L21" s="86">
        <v>8</v>
      </c>
      <c r="M21" s="92">
        <v>9</v>
      </c>
      <c r="N21" s="95">
        <f t="shared" si="4"/>
        <v>8.833333333333334</v>
      </c>
      <c r="O21" s="8">
        <f t="shared" si="5"/>
        <v>9</v>
      </c>
    </row>
    <row r="22" spans="1:15" ht="12.75">
      <c r="A22" s="3">
        <f t="shared" si="3"/>
        <v>9</v>
      </c>
      <c r="B22" s="37">
        <v>19</v>
      </c>
      <c r="C22" s="2" t="s">
        <v>230</v>
      </c>
      <c r="D22" s="146">
        <v>7</v>
      </c>
      <c r="E22" s="87" t="s">
        <v>206</v>
      </c>
      <c r="F22" s="86">
        <v>9</v>
      </c>
      <c r="G22" s="87">
        <v>9</v>
      </c>
      <c r="H22" s="86">
        <v>10</v>
      </c>
      <c r="I22" s="87"/>
      <c r="J22" s="86">
        <v>10</v>
      </c>
      <c r="K22" s="87">
        <v>8</v>
      </c>
      <c r="L22" s="86">
        <v>8</v>
      </c>
      <c r="M22" s="92">
        <v>9</v>
      </c>
      <c r="N22" s="95">
        <f t="shared" si="4"/>
        <v>9</v>
      </c>
      <c r="O22" s="8">
        <f t="shared" si="5"/>
        <v>9</v>
      </c>
    </row>
    <row r="23" spans="1:15" ht="12.75">
      <c r="A23" s="3">
        <f t="shared" si="3"/>
        <v>8.666666666666666</v>
      </c>
      <c r="B23" s="37">
        <v>20</v>
      </c>
      <c r="C23" s="2" t="s">
        <v>231</v>
      </c>
      <c r="D23" s="146">
        <v>8</v>
      </c>
      <c r="E23" s="87"/>
      <c r="F23" s="86">
        <v>6</v>
      </c>
      <c r="G23" s="87" t="s">
        <v>206</v>
      </c>
      <c r="H23" s="86">
        <v>9</v>
      </c>
      <c r="I23" s="87"/>
      <c r="J23" s="86">
        <v>10</v>
      </c>
      <c r="K23" s="87">
        <v>10</v>
      </c>
      <c r="L23" s="86">
        <v>8</v>
      </c>
      <c r="M23" s="92">
        <v>9</v>
      </c>
      <c r="N23" s="95">
        <f t="shared" si="4"/>
        <v>8.666666666666666</v>
      </c>
      <c r="O23" s="8">
        <f t="shared" si="5"/>
        <v>9</v>
      </c>
    </row>
    <row r="24" spans="1:15" ht="12.75">
      <c r="A24" s="3">
        <f t="shared" si="3"/>
        <v>9.166666666666666</v>
      </c>
      <c r="B24" s="37">
        <v>21</v>
      </c>
      <c r="C24" s="2" t="s">
        <v>232</v>
      </c>
      <c r="D24" s="146">
        <v>9</v>
      </c>
      <c r="E24" s="87"/>
      <c r="F24" s="86">
        <v>9</v>
      </c>
      <c r="G24" s="87"/>
      <c r="H24" s="86">
        <v>10</v>
      </c>
      <c r="I24" s="87" t="s">
        <v>206</v>
      </c>
      <c r="J24" s="86">
        <v>10</v>
      </c>
      <c r="K24" s="87">
        <v>9</v>
      </c>
      <c r="L24" s="86">
        <v>9</v>
      </c>
      <c r="M24" s="92">
        <v>8</v>
      </c>
      <c r="N24" s="95">
        <f>AVERAGE(E24:M24)</f>
        <v>9.166666666666666</v>
      </c>
      <c r="O24" s="8">
        <f t="shared" si="5"/>
        <v>9</v>
      </c>
    </row>
    <row r="25" spans="1:15" ht="12.75">
      <c r="A25" s="3">
        <f t="shared" si="3"/>
        <v>8.285714285714286</v>
      </c>
      <c r="B25" s="37">
        <v>22</v>
      </c>
      <c r="C25" s="2" t="s">
        <v>233</v>
      </c>
      <c r="D25" s="146">
        <v>10</v>
      </c>
      <c r="E25" s="87">
        <v>9</v>
      </c>
      <c r="F25" s="86">
        <v>4</v>
      </c>
      <c r="G25" s="87"/>
      <c r="H25" s="86">
        <v>8</v>
      </c>
      <c r="I25" s="87"/>
      <c r="J25" s="86">
        <v>9</v>
      </c>
      <c r="K25" s="87">
        <v>10</v>
      </c>
      <c r="L25" s="86">
        <v>9</v>
      </c>
      <c r="M25" s="92">
        <v>9</v>
      </c>
      <c r="N25" s="95">
        <f t="shared" si="4"/>
        <v>8.285714285714286</v>
      </c>
      <c r="O25" s="8">
        <v>9</v>
      </c>
    </row>
    <row r="26" spans="1:15" ht="12.75">
      <c r="A26" s="3">
        <f t="shared" si="3"/>
        <v>4.714285714285714</v>
      </c>
      <c r="B26" s="37">
        <v>23</v>
      </c>
      <c r="C26" s="2" t="s">
        <v>234</v>
      </c>
      <c r="D26" s="146">
        <v>11</v>
      </c>
      <c r="E26" s="87" t="s">
        <v>206</v>
      </c>
      <c r="F26" s="86">
        <v>4</v>
      </c>
      <c r="G26" s="87">
        <v>1</v>
      </c>
      <c r="H26" s="99">
        <v>4</v>
      </c>
      <c r="I26" s="87"/>
      <c r="J26" s="86">
        <v>4</v>
      </c>
      <c r="K26" s="87">
        <v>6</v>
      </c>
      <c r="L26" s="86">
        <v>7</v>
      </c>
      <c r="M26" s="101">
        <v>7</v>
      </c>
      <c r="N26" s="95">
        <f t="shared" si="4"/>
        <v>4.714285714285714</v>
      </c>
      <c r="O26" s="8">
        <f t="shared" si="5"/>
        <v>5</v>
      </c>
    </row>
    <row r="27" spans="1:15" ht="12.75">
      <c r="A27" s="3">
        <f t="shared" si="3"/>
        <v>7.833333333333333</v>
      </c>
      <c r="B27" s="37">
        <v>24</v>
      </c>
      <c r="C27" s="2" t="s">
        <v>235</v>
      </c>
      <c r="D27" s="146">
        <v>12</v>
      </c>
      <c r="E27" s="87" t="s">
        <v>206</v>
      </c>
      <c r="F27" s="86">
        <v>10</v>
      </c>
      <c r="G27" s="87"/>
      <c r="H27" s="86">
        <v>4</v>
      </c>
      <c r="I27" s="87"/>
      <c r="J27" s="86">
        <v>8</v>
      </c>
      <c r="K27" s="87">
        <v>9</v>
      </c>
      <c r="L27" s="86">
        <v>8</v>
      </c>
      <c r="M27" s="92">
        <v>8</v>
      </c>
      <c r="N27" s="95">
        <f t="shared" si="4"/>
        <v>7.833333333333333</v>
      </c>
      <c r="O27" s="8">
        <f t="shared" si="5"/>
        <v>8</v>
      </c>
    </row>
    <row r="28" spans="1:15" ht="12.75">
      <c r="A28" s="3">
        <f t="shared" si="3"/>
        <v>8.833333333333334</v>
      </c>
      <c r="B28" s="37">
        <v>25</v>
      </c>
      <c r="C28" s="2" t="s">
        <v>236</v>
      </c>
      <c r="D28" s="146">
        <v>13</v>
      </c>
      <c r="E28" s="87" t="s">
        <v>206</v>
      </c>
      <c r="F28" s="86">
        <v>10</v>
      </c>
      <c r="G28" s="87"/>
      <c r="H28" s="86">
        <v>8</v>
      </c>
      <c r="I28" s="87"/>
      <c r="J28" s="86">
        <v>7</v>
      </c>
      <c r="K28" s="87">
        <v>9</v>
      </c>
      <c r="L28" s="86">
        <v>10</v>
      </c>
      <c r="M28" s="92">
        <v>9</v>
      </c>
      <c r="N28" s="95">
        <f t="shared" si="4"/>
        <v>8.833333333333334</v>
      </c>
      <c r="O28" s="8">
        <f t="shared" si="5"/>
        <v>9</v>
      </c>
    </row>
    <row r="29" spans="1:15" ht="12.75">
      <c r="A29" s="3">
        <f t="shared" si="3"/>
        <v>8</v>
      </c>
      <c r="B29" s="37">
        <v>26</v>
      </c>
      <c r="C29" s="2" t="s">
        <v>237</v>
      </c>
      <c r="D29" s="146">
        <v>1</v>
      </c>
      <c r="E29" s="87"/>
      <c r="F29" s="86">
        <v>4</v>
      </c>
      <c r="G29" s="87"/>
      <c r="H29" s="86">
        <v>9</v>
      </c>
      <c r="I29" s="87"/>
      <c r="J29" s="86">
        <v>10</v>
      </c>
      <c r="K29" s="87">
        <v>8</v>
      </c>
      <c r="L29" s="86">
        <v>8</v>
      </c>
      <c r="M29" s="92">
        <v>9</v>
      </c>
      <c r="N29" s="95">
        <f t="shared" si="4"/>
        <v>8</v>
      </c>
      <c r="O29" s="8">
        <f t="shared" si="5"/>
        <v>8</v>
      </c>
    </row>
    <row r="30" spans="2:15" s="5" customFormat="1" ht="12.75">
      <c r="B30" s="6"/>
      <c r="C30" s="232" t="s">
        <v>0</v>
      </c>
      <c r="D30" s="233"/>
      <c r="E30" s="89"/>
      <c r="F30" s="90">
        <f>AVERAGE(F3:F15,F17:F29)</f>
        <v>7.3076923076923075</v>
      </c>
      <c r="G30" s="89"/>
      <c r="H30" s="90">
        <f>AVERAGE(H3:H15,H17:H29)</f>
        <v>7.961538461538462</v>
      </c>
      <c r="I30" s="89"/>
      <c r="J30" s="90">
        <f>AVERAGE(J3:J15,J17:J29)</f>
        <v>8.615384615384615</v>
      </c>
      <c r="K30" s="89"/>
      <c r="L30" s="90">
        <f>AVERAGE(L3:L15,L17:L29)</f>
        <v>8.576923076923077</v>
      </c>
      <c r="M30" s="140">
        <f>AVERAGE(M3:M15,M17:M29)</f>
        <v>8.846153846153847</v>
      </c>
      <c r="N30" s="80">
        <f>AVERAGE(N3:N15,N17:N29)</f>
        <v>8.275641025641026</v>
      </c>
      <c r="O30" s="11">
        <f>AVERAGE(O3:O15,O17:O29)</f>
        <v>8.5</v>
      </c>
    </row>
    <row r="31" spans="2:15" s="5" customFormat="1" ht="13.5" thickBot="1">
      <c r="B31" s="6"/>
      <c r="C31" s="7"/>
      <c r="D31" s="77"/>
      <c r="E31" s="234" t="s">
        <v>61</v>
      </c>
      <c r="F31" s="235"/>
      <c r="G31" s="234" t="s">
        <v>62</v>
      </c>
      <c r="H31" s="235"/>
      <c r="I31" s="234" t="s">
        <v>63</v>
      </c>
      <c r="J31" s="235"/>
      <c r="K31" s="234" t="s">
        <v>268</v>
      </c>
      <c r="L31" s="235"/>
      <c r="M31" s="94" t="s">
        <v>66</v>
      </c>
      <c r="N31" s="96"/>
      <c r="O31" s="9"/>
    </row>
    <row r="32" spans="2:15" ht="13.5" thickBot="1">
      <c r="B32" s="227" t="s">
        <v>36</v>
      </c>
      <c r="C32" s="227"/>
      <c r="D32" s="244"/>
      <c r="E32" s="242" t="s">
        <v>76</v>
      </c>
      <c r="F32" s="228"/>
      <c r="G32" s="228"/>
      <c r="H32" s="228"/>
      <c r="I32" s="228"/>
      <c r="J32" s="228"/>
      <c r="K32" s="228"/>
      <c r="L32" s="228"/>
      <c r="M32" s="229"/>
      <c r="N32" s="74">
        <f>O32/B29</f>
        <v>1</v>
      </c>
      <c r="O32" s="8">
        <f>COUNTIF(O3:O29,"&gt;3")</f>
        <v>26</v>
      </c>
    </row>
    <row r="33" spans="2:15" ht="12.75">
      <c r="B33" s="244" t="s">
        <v>48</v>
      </c>
      <c r="C33" s="245"/>
      <c r="D33" s="246"/>
      <c r="E33" s="73"/>
      <c r="F33" s="73"/>
      <c r="G33" s="73"/>
      <c r="H33" s="73"/>
      <c r="I33" s="73"/>
      <c r="J33" s="73"/>
      <c r="K33" s="73"/>
      <c r="L33" s="73"/>
      <c r="M33" s="73"/>
      <c r="N33" s="74">
        <f>O33/B29</f>
        <v>0.9230769230769231</v>
      </c>
      <c r="O33" s="8">
        <f>COUNTIF(O3:O29,"&gt;6")</f>
        <v>24</v>
      </c>
    </row>
    <row r="35" spans="3:4" ht="12.75">
      <c r="C35" s="22" t="s">
        <v>78</v>
      </c>
      <c r="D35" t="s">
        <v>83</v>
      </c>
    </row>
    <row r="36" ht="12.75">
      <c r="D36" t="s">
        <v>84</v>
      </c>
    </row>
  </sheetData>
  <sheetProtection/>
  <mergeCells count="9">
    <mergeCell ref="B32:D32"/>
    <mergeCell ref="E32:M32"/>
    <mergeCell ref="B33:D33"/>
    <mergeCell ref="K31:L31"/>
    <mergeCell ref="C1:J1"/>
    <mergeCell ref="C30:D30"/>
    <mergeCell ref="E31:F31"/>
    <mergeCell ref="G31:H31"/>
    <mergeCell ref="I31:J31"/>
  </mergeCells>
  <conditionalFormatting sqref="O3:O15 O17:O29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N3:N15 N17:N29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0"/>
  <sheetViews>
    <sheetView workbookViewId="0" topLeftCell="B1">
      <selection activeCell="V12" sqref="V12"/>
    </sheetView>
  </sheetViews>
  <sheetFormatPr defaultColWidth="9.00390625" defaultRowHeight="12.75"/>
  <cols>
    <col min="1" max="1" width="4.375" style="0" hidden="1" customWidth="1"/>
    <col min="2" max="2" width="3.625" style="0" customWidth="1"/>
    <col min="3" max="3" width="20.75390625" style="0" customWidth="1"/>
    <col min="4" max="4" width="8.625" style="0" customWidth="1"/>
    <col min="5" max="5" width="4.875" style="0" customWidth="1"/>
    <col min="6" max="6" width="5.00390625" style="0" customWidth="1"/>
    <col min="7" max="9" width="4.625" style="0" customWidth="1"/>
    <col min="10" max="10" width="4.875" style="0" customWidth="1"/>
    <col min="11" max="11" width="5.25390625" style="0" customWidth="1"/>
    <col min="12" max="12" width="5.00390625" style="0" customWidth="1"/>
    <col min="13" max="13" width="5.75390625" style="0" customWidth="1"/>
    <col min="14" max="14" width="5.125" style="0" customWidth="1"/>
    <col min="15" max="16" width="5.75390625" style="14" customWidth="1"/>
    <col min="17" max="20" width="5.75390625" style="0" customWidth="1"/>
    <col min="21" max="21" width="9.125" style="3" customWidth="1"/>
    <col min="22" max="22" width="9.125" style="10" customWidth="1"/>
    <col min="23" max="23" width="8.25390625" style="0" customWidth="1"/>
    <col min="24" max="24" width="7.625" style="0" customWidth="1"/>
  </cols>
  <sheetData>
    <row r="1" spans="3:31" ht="13.5" thickBot="1">
      <c r="C1" s="239" t="s">
        <v>113</v>
      </c>
      <c r="D1" s="239"/>
      <c r="E1" s="239"/>
      <c r="F1" s="239"/>
      <c r="G1" s="239"/>
      <c r="H1" s="239"/>
      <c r="I1" s="239"/>
      <c r="J1" s="239"/>
      <c r="K1" s="53"/>
      <c r="L1" s="33"/>
      <c r="M1" s="33"/>
      <c r="N1" s="33"/>
      <c r="O1" s="33"/>
      <c r="P1" s="33"/>
      <c r="Q1" s="33"/>
      <c r="R1" s="62"/>
      <c r="S1" s="62"/>
      <c r="T1" s="62"/>
      <c r="U1" s="33"/>
      <c r="V1" s="33"/>
      <c r="W1" s="33"/>
      <c r="X1" s="33"/>
      <c r="Y1" s="33"/>
      <c r="Z1" s="64"/>
      <c r="AA1" s="65"/>
      <c r="AD1" s="14"/>
      <c r="AE1" s="15"/>
    </row>
    <row r="2" spans="2:27" ht="16.5" customHeight="1" thickBot="1">
      <c r="B2" s="66" t="s">
        <v>73</v>
      </c>
      <c r="C2" s="67" t="s">
        <v>26</v>
      </c>
      <c r="D2" s="68" t="s">
        <v>74</v>
      </c>
      <c r="E2" s="81">
        <v>42009</v>
      </c>
      <c r="F2" s="82">
        <v>42016</v>
      </c>
      <c r="G2" s="81">
        <v>42020</v>
      </c>
      <c r="H2" s="82">
        <v>42023</v>
      </c>
      <c r="I2" s="208"/>
      <c r="J2" s="208">
        <v>42034</v>
      </c>
      <c r="K2" s="159">
        <v>42058</v>
      </c>
      <c r="L2" s="170">
        <v>42065</v>
      </c>
      <c r="M2" s="81">
        <v>42072</v>
      </c>
      <c r="N2" s="125">
        <v>42076</v>
      </c>
      <c r="O2" s="81">
        <v>42086</v>
      </c>
      <c r="P2" s="127">
        <v>42090</v>
      </c>
      <c r="Q2" s="82">
        <v>42149</v>
      </c>
      <c r="R2" s="162">
        <v>42160</v>
      </c>
      <c r="S2" s="166">
        <v>42163</v>
      </c>
      <c r="T2" s="91">
        <v>42170</v>
      </c>
      <c r="U2" s="69" t="s">
        <v>24</v>
      </c>
      <c r="V2" s="70" t="s">
        <v>178</v>
      </c>
      <c r="W2" s="176" t="s">
        <v>21</v>
      </c>
      <c r="X2" s="176" t="s">
        <v>204</v>
      </c>
      <c r="Y2" s="33"/>
      <c r="Z2" s="33"/>
      <c r="AA2" s="33"/>
    </row>
    <row r="3" spans="1:27" ht="12.75">
      <c r="A3" s="3">
        <f aca="true" t="shared" si="0" ref="A3:A12">U3</f>
        <v>9.125</v>
      </c>
      <c r="B3" s="61">
        <v>1</v>
      </c>
      <c r="C3" s="37" t="s">
        <v>127</v>
      </c>
      <c r="D3" s="210">
        <v>3</v>
      </c>
      <c r="E3" s="141"/>
      <c r="F3" s="145">
        <v>8</v>
      </c>
      <c r="G3" s="141"/>
      <c r="H3" s="157">
        <v>9</v>
      </c>
      <c r="I3" s="144"/>
      <c r="J3" s="143">
        <v>10</v>
      </c>
      <c r="K3" s="206"/>
      <c r="L3" s="171">
        <v>9</v>
      </c>
      <c r="M3" s="141"/>
      <c r="N3" s="143">
        <v>9</v>
      </c>
      <c r="O3" s="120"/>
      <c r="P3" s="110"/>
      <c r="Q3" s="126">
        <v>9</v>
      </c>
      <c r="R3" s="144"/>
      <c r="S3" s="145">
        <v>10</v>
      </c>
      <c r="T3" s="172">
        <v>9</v>
      </c>
      <c r="U3" s="95">
        <f aca="true" t="shared" si="1" ref="U3:U12">AVERAGE(E3:T3)</f>
        <v>9.125</v>
      </c>
      <c r="V3" s="8">
        <f aca="true" t="shared" si="2" ref="V3:V12">ROUND(U3,0)</f>
        <v>9</v>
      </c>
      <c r="W3" s="8">
        <v>8</v>
      </c>
      <c r="X3" s="8">
        <f>AVERAGE(V3:W3)</f>
        <v>8.5</v>
      </c>
      <c r="Y3" s="1" t="s">
        <v>30</v>
      </c>
      <c r="Z3" s="1">
        <f>COUNTIF(V3:V12,"&gt;8")</f>
        <v>1</v>
      </c>
      <c r="AA3" s="47">
        <f>Z3/$B$12</f>
        <v>0.1</v>
      </c>
    </row>
    <row r="4" spans="1:27" ht="12.75">
      <c r="A4" s="3">
        <f t="shared" si="0"/>
        <v>4.833333333333333</v>
      </c>
      <c r="B4" s="61">
        <v>2</v>
      </c>
      <c r="C4" s="37" t="s">
        <v>128</v>
      </c>
      <c r="D4" s="210" t="s">
        <v>272</v>
      </c>
      <c r="E4" s="83">
        <v>1</v>
      </c>
      <c r="F4" s="98">
        <v>7</v>
      </c>
      <c r="G4" s="83">
        <v>1</v>
      </c>
      <c r="H4" s="113">
        <v>7</v>
      </c>
      <c r="I4" s="85">
        <v>1</v>
      </c>
      <c r="J4" s="99">
        <v>6</v>
      </c>
      <c r="K4" s="121">
        <v>1</v>
      </c>
      <c r="L4" s="115">
        <v>7</v>
      </c>
      <c r="M4" s="87"/>
      <c r="N4" s="99">
        <v>5</v>
      </c>
      <c r="O4" s="122"/>
      <c r="P4" s="112"/>
      <c r="Q4" s="158">
        <v>8</v>
      </c>
      <c r="R4" s="87"/>
      <c r="S4" s="86">
        <v>9</v>
      </c>
      <c r="T4" s="139">
        <v>5</v>
      </c>
      <c r="U4" s="95">
        <f t="shared" si="1"/>
        <v>4.833333333333333</v>
      </c>
      <c r="V4" s="8">
        <f t="shared" si="2"/>
        <v>5</v>
      </c>
      <c r="W4" s="8">
        <v>6</v>
      </c>
      <c r="X4" s="8">
        <f aca="true" t="shared" si="3" ref="X4:X12">AVERAGE(V4:W4)</f>
        <v>5.5</v>
      </c>
      <c r="Y4" s="1" t="s">
        <v>31</v>
      </c>
      <c r="Z4" s="48">
        <f>COUNTIF(V3:V12,7)+COUNTIF(V3:V12,8)</f>
        <v>0</v>
      </c>
      <c r="AA4" s="47">
        <f>Z4/$B$12</f>
        <v>0</v>
      </c>
    </row>
    <row r="5" spans="1:27" ht="12.75">
      <c r="A5" s="3">
        <f t="shared" si="0"/>
        <v>4.5</v>
      </c>
      <c r="B5" s="61">
        <v>3</v>
      </c>
      <c r="C5" s="37" t="s">
        <v>129</v>
      </c>
      <c r="D5" s="210">
        <v>2</v>
      </c>
      <c r="E5" s="83"/>
      <c r="F5" s="98">
        <v>4</v>
      </c>
      <c r="G5" s="83"/>
      <c r="H5" s="126">
        <v>4</v>
      </c>
      <c r="I5" s="87"/>
      <c r="J5" s="99">
        <v>6</v>
      </c>
      <c r="K5" s="122"/>
      <c r="L5" s="115">
        <v>5</v>
      </c>
      <c r="M5" s="85"/>
      <c r="N5" s="99">
        <v>5</v>
      </c>
      <c r="O5" s="122"/>
      <c r="P5" s="112"/>
      <c r="Q5" s="115">
        <v>4</v>
      </c>
      <c r="R5" s="85"/>
      <c r="S5" s="99">
        <v>4</v>
      </c>
      <c r="T5" s="139">
        <v>4</v>
      </c>
      <c r="U5" s="105">
        <f t="shared" si="1"/>
        <v>4.5</v>
      </c>
      <c r="V5" s="8">
        <f t="shared" si="2"/>
        <v>5</v>
      </c>
      <c r="W5" s="8">
        <v>7</v>
      </c>
      <c r="X5" s="8">
        <f t="shared" si="3"/>
        <v>6</v>
      </c>
      <c r="Y5" s="1" t="s">
        <v>32</v>
      </c>
      <c r="Z5" s="48">
        <f>COUNTIF(V3:V12,4)+COUNTIF(V3:V12,5)+COUNTIF(V3:V12,6)</f>
        <v>9</v>
      </c>
      <c r="AA5" s="47">
        <f>Z5/$B$12</f>
        <v>0.9</v>
      </c>
    </row>
    <row r="6" spans="1:27" ht="12.75">
      <c r="A6" s="3">
        <f t="shared" si="0"/>
        <v>4.5</v>
      </c>
      <c r="B6" s="61">
        <v>4</v>
      </c>
      <c r="C6" s="2" t="s">
        <v>130</v>
      </c>
      <c r="D6" s="146">
        <v>11</v>
      </c>
      <c r="E6" s="83"/>
      <c r="F6" s="99">
        <v>4</v>
      </c>
      <c r="G6" s="83"/>
      <c r="H6" s="115">
        <v>4</v>
      </c>
      <c r="I6" s="85"/>
      <c r="J6" s="99">
        <v>4</v>
      </c>
      <c r="K6" s="122"/>
      <c r="L6" s="115">
        <v>4</v>
      </c>
      <c r="M6" s="85"/>
      <c r="N6" s="99">
        <v>4</v>
      </c>
      <c r="O6" s="121"/>
      <c r="P6" s="111"/>
      <c r="Q6" s="158">
        <v>4</v>
      </c>
      <c r="R6" s="85"/>
      <c r="S6" s="86">
        <v>6</v>
      </c>
      <c r="T6" s="133">
        <v>6</v>
      </c>
      <c r="U6" s="105">
        <f t="shared" si="1"/>
        <v>4.5</v>
      </c>
      <c r="V6" s="8">
        <f t="shared" si="2"/>
        <v>5</v>
      </c>
      <c r="W6" s="8">
        <v>5</v>
      </c>
      <c r="X6" s="8">
        <f t="shared" si="3"/>
        <v>5</v>
      </c>
      <c r="Y6" s="1" t="s">
        <v>33</v>
      </c>
      <c r="Z6" s="1">
        <f>COUNTIF(V3:V12,"&lt;4")</f>
        <v>0</v>
      </c>
      <c r="AA6" s="47">
        <f>Z6/$B$12</f>
        <v>0</v>
      </c>
    </row>
    <row r="7" spans="1:27" ht="12.75">
      <c r="A7" s="3">
        <f t="shared" si="0"/>
        <v>6</v>
      </c>
      <c r="B7" s="61">
        <v>5</v>
      </c>
      <c r="C7" s="37" t="s">
        <v>131</v>
      </c>
      <c r="D7" s="210">
        <v>6</v>
      </c>
      <c r="E7" s="83"/>
      <c r="F7" s="99">
        <v>4</v>
      </c>
      <c r="G7" s="83"/>
      <c r="H7" s="113">
        <v>4</v>
      </c>
      <c r="I7" s="85">
        <v>1</v>
      </c>
      <c r="J7" s="99">
        <v>7</v>
      </c>
      <c r="K7" s="122"/>
      <c r="L7" s="115">
        <v>7</v>
      </c>
      <c r="M7" s="85"/>
      <c r="N7" s="99">
        <v>8</v>
      </c>
      <c r="O7" s="122"/>
      <c r="P7" s="112"/>
      <c r="Q7" s="158">
        <v>9</v>
      </c>
      <c r="R7" s="85"/>
      <c r="S7" s="86">
        <v>9</v>
      </c>
      <c r="T7" s="139">
        <v>5</v>
      </c>
      <c r="U7" s="105">
        <f t="shared" si="1"/>
        <v>6</v>
      </c>
      <c r="V7" s="8">
        <f t="shared" si="2"/>
        <v>6</v>
      </c>
      <c r="W7" s="8">
        <v>5</v>
      </c>
      <c r="X7" s="8">
        <f t="shared" si="3"/>
        <v>5.5</v>
      </c>
      <c r="Y7" s="49" t="s">
        <v>34</v>
      </c>
      <c r="Z7" s="1">
        <f>B12-SUM(Z3:Z6)</f>
        <v>0</v>
      </c>
      <c r="AA7" s="47">
        <f>Z7/$B$12</f>
        <v>0</v>
      </c>
    </row>
    <row r="8" spans="1:24" ht="12.75">
      <c r="A8" s="3">
        <f t="shared" si="0"/>
        <v>5</v>
      </c>
      <c r="B8" s="61">
        <v>6</v>
      </c>
      <c r="C8" s="2" t="s">
        <v>132</v>
      </c>
      <c r="D8" s="146">
        <v>8</v>
      </c>
      <c r="E8" s="83">
        <v>1</v>
      </c>
      <c r="F8" s="99">
        <v>7</v>
      </c>
      <c r="G8" s="83" t="s">
        <v>206</v>
      </c>
      <c r="H8" s="115">
        <v>4</v>
      </c>
      <c r="I8" s="85">
        <v>1</v>
      </c>
      <c r="J8" s="99">
        <v>6</v>
      </c>
      <c r="K8" s="122">
        <v>1</v>
      </c>
      <c r="L8" s="115">
        <v>6</v>
      </c>
      <c r="M8" s="85"/>
      <c r="N8" s="99">
        <v>7</v>
      </c>
      <c r="O8" s="122"/>
      <c r="P8" s="112"/>
      <c r="Q8" s="158">
        <v>8</v>
      </c>
      <c r="R8" s="85"/>
      <c r="S8" s="99">
        <v>9</v>
      </c>
      <c r="T8" s="133">
        <v>5</v>
      </c>
      <c r="U8" s="105">
        <f t="shared" si="1"/>
        <v>5</v>
      </c>
      <c r="V8" s="8">
        <f t="shared" si="2"/>
        <v>5</v>
      </c>
      <c r="W8" s="8">
        <v>6</v>
      </c>
      <c r="X8" s="8">
        <f t="shared" si="3"/>
        <v>5.5</v>
      </c>
    </row>
    <row r="9" spans="1:24" ht="12.75">
      <c r="A9" s="3">
        <f t="shared" si="0"/>
        <v>5.2727272727272725</v>
      </c>
      <c r="B9" s="61">
        <v>7</v>
      </c>
      <c r="C9" s="151" t="s">
        <v>133</v>
      </c>
      <c r="D9" s="146" t="s">
        <v>273</v>
      </c>
      <c r="E9" s="83">
        <v>1</v>
      </c>
      <c r="F9" s="99">
        <v>7</v>
      </c>
      <c r="G9" s="83">
        <v>1</v>
      </c>
      <c r="H9" s="115">
        <v>6</v>
      </c>
      <c r="I9" s="85"/>
      <c r="J9" s="99">
        <v>7</v>
      </c>
      <c r="K9" s="122"/>
      <c r="L9" s="115">
        <v>6</v>
      </c>
      <c r="M9" s="85"/>
      <c r="N9" s="99">
        <v>7</v>
      </c>
      <c r="O9" s="122">
        <v>2</v>
      </c>
      <c r="P9" s="112"/>
      <c r="Q9" s="115">
        <v>8</v>
      </c>
      <c r="R9" s="85"/>
      <c r="S9" s="99">
        <v>9</v>
      </c>
      <c r="T9" s="133">
        <v>4</v>
      </c>
      <c r="U9" s="105">
        <f t="shared" si="1"/>
        <v>5.2727272727272725</v>
      </c>
      <c r="V9" s="8">
        <f t="shared" si="2"/>
        <v>5</v>
      </c>
      <c r="W9" s="8">
        <v>6</v>
      </c>
      <c r="X9" s="8">
        <f t="shared" si="3"/>
        <v>5.5</v>
      </c>
    </row>
    <row r="10" spans="1:24" ht="12.75">
      <c r="A10" s="3">
        <f t="shared" si="0"/>
        <v>3.5</v>
      </c>
      <c r="B10" s="61">
        <v>8</v>
      </c>
      <c r="C10" s="2" t="s">
        <v>134</v>
      </c>
      <c r="D10" s="146" t="s">
        <v>274</v>
      </c>
      <c r="E10" s="83">
        <v>1</v>
      </c>
      <c r="F10" s="99">
        <v>4</v>
      </c>
      <c r="G10" s="83">
        <v>1</v>
      </c>
      <c r="H10" s="115">
        <v>4</v>
      </c>
      <c r="I10" s="85">
        <v>1</v>
      </c>
      <c r="J10" s="99">
        <v>6</v>
      </c>
      <c r="K10" s="122">
        <v>1</v>
      </c>
      <c r="L10" s="115">
        <v>4</v>
      </c>
      <c r="M10" s="85"/>
      <c r="N10" s="99">
        <v>4</v>
      </c>
      <c r="O10" s="122"/>
      <c r="P10" s="112"/>
      <c r="Q10" s="115">
        <v>5</v>
      </c>
      <c r="R10" s="85"/>
      <c r="S10" s="86">
        <v>7</v>
      </c>
      <c r="T10" s="133">
        <v>4</v>
      </c>
      <c r="U10" s="105">
        <f t="shared" si="1"/>
        <v>3.5</v>
      </c>
      <c r="V10" s="8">
        <f t="shared" si="2"/>
        <v>4</v>
      </c>
      <c r="W10" s="8">
        <v>5</v>
      </c>
      <c r="X10" s="8">
        <f t="shared" si="3"/>
        <v>4.5</v>
      </c>
    </row>
    <row r="11" spans="1:24" ht="12.75">
      <c r="A11" s="3">
        <f t="shared" si="0"/>
        <v>4.75</v>
      </c>
      <c r="B11" s="61">
        <v>9</v>
      </c>
      <c r="C11" s="2" t="s">
        <v>135</v>
      </c>
      <c r="D11" s="146" t="s">
        <v>275</v>
      </c>
      <c r="E11" s="83"/>
      <c r="F11" s="99">
        <v>4</v>
      </c>
      <c r="G11" s="83"/>
      <c r="H11" s="115">
        <v>4</v>
      </c>
      <c r="I11" s="85"/>
      <c r="J11" s="99">
        <v>6</v>
      </c>
      <c r="K11" s="207"/>
      <c r="L11" s="115">
        <v>5</v>
      </c>
      <c r="M11" s="85"/>
      <c r="N11" s="99">
        <v>4</v>
      </c>
      <c r="O11" s="121"/>
      <c r="P11" s="111" t="s">
        <v>206</v>
      </c>
      <c r="Q11" s="158">
        <v>4</v>
      </c>
      <c r="R11" s="85"/>
      <c r="S11" s="86">
        <v>5</v>
      </c>
      <c r="T11" s="133">
        <v>6</v>
      </c>
      <c r="U11" s="105">
        <f t="shared" si="1"/>
        <v>4.75</v>
      </c>
      <c r="V11" s="8">
        <f t="shared" si="2"/>
        <v>5</v>
      </c>
      <c r="W11" s="8">
        <v>6</v>
      </c>
      <c r="X11" s="8">
        <f t="shared" si="3"/>
        <v>5.5</v>
      </c>
    </row>
    <row r="12" spans="1:24" ht="12.75">
      <c r="A12" s="3">
        <f t="shared" si="0"/>
        <v>4.5</v>
      </c>
      <c r="B12" s="61">
        <v>10</v>
      </c>
      <c r="C12" s="2" t="s">
        <v>136</v>
      </c>
      <c r="D12" s="146">
        <v>4</v>
      </c>
      <c r="E12" s="83">
        <v>1</v>
      </c>
      <c r="F12" s="99">
        <v>6</v>
      </c>
      <c r="G12" s="83">
        <v>1</v>
      </c>
      <c r="H12" s="115">
        <v>7</v>
      </c>
      <c r="I12" s="85">
        <v>1</v>
      </c>
      <c r="J12" s="99">
        <v>6</v>
      </c>
      <c r="K12" s="122">
        <v>1</v>
      </c>
      <c r="L12" s="115">
        <v>7</v>
      </c>
      <c r="M12" s="85"/>
      <c r="N12" s="99">
        <v>7</v>
      </c>
      <c r="O12" s="122"/>
      <c r="P12" s="112" t="s">
        <v>206</v>
      </c>
      <c r="Q12" s="115">
        <v>8</v>
      </c>
      <c r="R12" s="85"/>
      <c r="S12" s="99">
        <v>5</v>
      </c>
      <c r="T12" s="133">
        <v>4</v>
      </c>
      <c r="U12" s="105">
        <f t="shared" si="1"/>
        <v>4.5</v>
      </c>
      <c r="V12" s="8">
        <f t="shared" si="2"/>
        <v>5</v>
      </c>
      <c r="W12" s="8">
        <v>6</v>
      </c>
      <c r="X12" s="8">
        <f t="shared" si="3"/>
        <v>5.5</v>
      </c>
    </row>
    <row r="13" spans="2:24" s="5" customFormat="1" ht="13.5" thickBot="1">
      <c r="B13" s="232" t="s">
        <v>0</v>
      </c>
      <c r="C13" s="233"/>
      <c r="D13" s="233"/>
      <c r="E13" s="89"/>
      <c r="F13" s="90">
        <f>AVERAGE(F3:F12)</f>
        <v>5.5</v>
      </c>
      <c r="G13" s="154"/>
      <c r="H13" s="205">
        <f>AVERAGE(H3:H12)</f>
        <v>5.3</v>
      </c>
      <c r="I13" s="123"/>
      <c r="J13" s="124">
        <f>AVERAGE(J3:J12)</f>
        <v>6.4</v>
      </c>
      <c r="K13" s="102"/>
      <c r="L13" s="153">
        <f>AVERAGE(L3:L12)</f>
        <v>6</v>
      </c>
      <c r="M13" s="123"/>
      <c r="N13" s="153">
        <f>AVERAGE(N3:N12)</f>
        <v>6</v>
      </c>
      <c r="O13" s="34"/>
      <c r="P13" s="153"/>
      <c r="Q13" s="153">
        <f>AVERAGE(Q3:Q12)</f>
        <v>6.7</v>
      </c>
      <c r="R13" s="123"/>
      <c r="S13" s="123">
        <f aca="true" t="shared" si="4" ref="S13:X13">AVERAGE(S3:S12)</f>
        <v>7.3</v>
      </c>
      <c r="T13" s="134">
        <f t="shared" si="4"/>
        <v>5.2</v>
      </c>
      <c r="U13" s="102">
        <f t="shared" si="4"/>
        <v>5.19810606060606</v>
      </c>
      <c r="V13" s="34">
        <f t="shared" si="4"/>
        <v>5.4</v>
      </c>
      <c r="W13" s="34">
        <f t="shared" si="4"/>
        <v>6</v>
      </c>
      <c r="X13" s="34">
        <f t="shared" si="4"/>
        <v>5.7</v>
      </c>
    </row>
    <row r="14" spans="2:22" s="5" customFormat="1" ht="13.5" thickBot="1">
      <c r="B14" s="232"/>
      <c r="C14" s="233"/>
      <c r="D14" s="233"/>
      <c r="E14" s="234" t="s">
        <v>179</v>
      </c>
      <c r="F14" s="235"/>
      <c r="G14" s="240" t="s">
        <v>180</v>
      </c>
      <c r="H14" s="229"/>
      <c r="I14" s="234" t="s">
        <v>181</v>
      </c>
      <c r="J14" s="235"/>
      <c r="K14" s="249" t="s">
        <v>182</v>
      </c>
      <c r="L14" s="248"/>
      <c r="M14" s="247" t="s">
        <v>183</v>
      </c>
      <c r="N14" s="230"/>
      <c r="O14" s="250" t="s">
        <v>184</v>
      </c>
      <c r="P14" s="229"/>
      <c r="Q14" s="251"/>
      <c r="R14" s="247" t="s">
        <v>185</v>
      </c>
      <c r="S14" s="230"/>
      <c r="T14" s="160" t="s">
        <v>186</v>
      </c>
      <c r="U14" s="96"/>
      <c r="V14" s="9"/>
    </row>
    <row r="15" spans="2:22" ht="12.75">
      <c r="B15" s="244" t="s">
        <v>46</v>
      </c>
      <c r="C15" s="245"/>
      <c r="D15" s="246"/>
      <c r="E15" s="103" t="s">
        <v>22</v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35">
        <f>V15/B12</f>
        <v>1</v>
      </c>
      <c r="V15" s="8">
        <f>COUNTIF(V3:V12,"&gt;3")</f>
        <v>10</v>
      </c>
    </row>
    <row r="16" spans="2:22" ht="12.75">
      <c r="B16" s="244" t="s">
        <v>47</v>
      </c>
      <c r="C16" s="245"/>
      <c r="D16" s="246"/>
      <c r="E16" s="13" t="s">
        <v>163</v>
      </c>
      <c r="F16" s="4"/>
      <c r="G16" s="13" t="s">
        <v>164</v>
      </c>
      <c r="H16" s="4"/>
      <c r="I16" s="4"/>
      <c r="J16" s="4"/>
      <c r="K16" s="4"/>
      <c r="L16" s="4"/>
      <c r="M16" s="4"/>
      <c r="N16" s="4"/>
      <c r="O16" s="13"/>
      <c r="P16" s="13"/>
      <c r="Q16" s="4"/>
      <c r="R16" s="4"/>
      <c r="S16" s="4"/>
      <c r="T16" s="4"/>
      <c r="U16" s="35">
        <f>V16/B12</f>
        <v>0.1</v>
      </c>
      <c r="V16" s="8">
        <f>COUNTIF(V3:V12,"&gt;6")</f>
        <v>1</v>
      </c>
    </row>
    <row r="18" ht="12.75">
      <c r="C18" t="s">
        <v>191</v>
      </c>
    </row>
    <row r="20" spans="25:27" ht="12.75">
      <c r="Y20" s="54"/>
      <c r="Z20" s="54"/>
      <c r="AA20" s="3"/>
    </row>
  </sheetData>
  <sheetProtection/>
  <mergeCells count="12">
    <mergeCell ref="C1:J1"/>
    <mergeCell ref="B13:D13"/>
    <mergeCell ref="B14:D14"/>
    <mergeCell ref="B15:D15"/>
    <mergeCell ref="E14:F14"/>
    <mergeCell ref="G14:H14"/>
    <mergeCell ref="R14:S14"/>
    <mergeCell ref="B16:D16"/>
    <mergeCell ref="K14:L14"/>
    <mergeCell ref="M14:N14"/>
    <mergeCell ref="O14:Q14"/>
    <mergeCell ref="I14:J14"/>
  </mergeCells>
  <conditionalFormatting sqref="V3:X12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U3:U12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3"/>
  <sheetViews>
    <sheetView workbookViewId="0" topLeftCell="B1">
      <selection activeCell="T3" sqref="T3:T15"/>
    </sheetView>
  </sheetViews>
  <sheetFormatPr defaultColWidth="9.00390625" defaultRowHeight="12.75"/>
  <cols>
    <col min="1" max="1" width="6.625" style="0" hidden="1" customWidth="1"/>
    <col min="2" max="2" width="3.625" style="0" customWidth="1"/>
    <col min="3" max="3" width="22.75390625" style="0" customWidth="1"/>
    <col min="4" max="4" width="8.625" style="0" customWidth="1"/>
    <col min="5" max="5" width="5.75390625" style="0" customWidth="1"/>
    <col min="6" max="6" width="3.75390625" style="0" customWidth="1"/>
    <col min="7" max="7" width="5.75390625" style="0" customWidth="1"/>
    <col min="8" max="8" width="4.25390625" style="0" customWidth="1"/>
    <col min="9" max="9" width="5.75390625" style="0" customWidth="1"/>
    <col min="10" max="10" width="4.00390625" style="0" customWidth="1"/>
    <col min="11" max="13" width="5.75390625" style="0" customWidth="1"/>
    <col min="14" max="14" width="6.75390625" style="0" customWidth="1"/>
    <col min="15" max="15" width="6.125" style="0" customWidth="1"/>
    <col min="16" max="16" width="5.75390625" style="14" customWidth="1"/>
    <col min="17" max="18" width="5.75390625" style="0" customWidth="1"/>
    <col min="19" max="19" width="9.125" style="3" customWidth="1"/>
    <col min="20" max="20" width="9.125" style="10" customWidth="1"/>
  </cols>
  <sheetData>
    <row r="1" spans="3:29" ht="13.5" thickBot="1">
      <c r="C1" s="239" t="s">
        <v>192</v>
      </c>
      <c r="D1" s="239"/>
      <c r="E1" s="239"/>
      <c r="F1" s="239"/>
      <c r="G1" s="239"/>
      <c r="H1" s="252"/>
      <c r="I1" s="239"/>
      <c r="J1" s="239"/>
      <c r="K1" s="239"/>
      <c r="L1" s="239"/>
      <c r="M1" s="239"/>
      <c r="N1" s="33"/>
      <c r="O1" s="62"/>
      <c r="P1" s="33"/>
      <c r="Q1" s="62"/>
      <c r="R1" s="62"/>
      <c r="S1" s="33"/>
      <c r="T1" s="33"/>
      <c r="U1" s="33"/>
      <c r="V1" s="33"/>
      <c r="W1" s="33"/>
      <c r="X1" s="64"/>
      <c r="Y1" s="65"/>
      <c r="AB1" s="14"/>
      <c r="AC1" s="15"/>
    </row>
    <row r="2" spans="2:25" ht="16.5" customHeight="1" thickBot="1">
      <c r="B2" s="66" t="s">
        <v>73</v>
      </c>
      <c r="C2" s="67" t="s">
        <v>26</v>
      </c>
      <c r="D2" s="68" t="s">
        <v>74</v>
      </c>
      <c r="E2" s="223">
        <v>42058</v>
      </c>
      <c r="F2" s="159"/>
      <c r="G2" s="208">
        <v>42065</v>
      </c>
      <c r="H2" s="127"/>
      <c r="I2" s="118">
        <v>42079</v>
      </c>
      <c r="J2" s="127"/>
      <c r="K2" s="82">
        <v>42086</v>
      </c>
      <c r="L2" s="81">
        <v>42107</v>
      </c>
      <c r="M2" s="125">
        <v>42119</v>
      </c>
      <c r="N2" s="91">
        <v>42135</v>
      </c>
      <c r="O2" s="159">
        <v>42171</v>
      </c>
      <c r="P2" s="91">
        <v>42172</v>
      </c>
      <c r="Q2" s="118">
        <v>42174</v>
      </c>
      <c r="R2" s="82">
        <v>42177</v>
      </c>
      <c r="S2" s="69" t="s">
        <v>24</v>
      </c>
      <c r="T2" s="70" t="s">
        <v>205</v>
      </c>
      <c r="U2" s="33"/>
      <c r="V2" s="33"/>
      <c r="W2" s="33"/>
      <c r="X2" s="33"/>
      <c r="Y2" s="33"/>
    </row>
    <row r="3" spans="1:23" ht="12.75">
      <c r="A3" s="3">
        <f aca="true" t="shared" si="0" ref="A3:A15">S3</f>
        <v>7.777777777777778</v>
      </c>
      <c r="B3" s="61">
        <v>1</v>
      </c>
      <c r="C3" s="136" t="s">
        <v>212</v>
      </c>
      <c r="D3" s="212">
        <v>1</v>
      </c>
      <c r="E3" s="141">
        <v>4</v>
      </c>
      <c r="F3" s="224"/>
      <c r="G3" s="145">
        <v>10</v>
      </c>
      <c r="H3" s="221"/>
      <c r="I3" s="221">
        <v>4</v>
      </c>
      <c r="J3" s="142"/>
      <c r="K3" s="143">
        <v>7</v>
      </c>
      <c r="L3" s="206"/>
      <c r="M3" s="157">
        <v>9</v>
      </c>
      <c r="N3" s="167">
        <v>9</v>
      </c>
      <c r="O3" s="173">
        <v>10</v>
      </c>
      <c r="P3" s="133">
        <v>8</v>
      </c>
      <c r="Q3" s="119"/>
      <c r="R3" s="84">
        <v>9</v>
      </c>
      <c r="S3" s="95">
        <f aca="true" t="shared" si="1" ref="S3:S15">AVERAGE(E3:R3)</f>
        <v>7.777777777777778</v>
      </c>
      <c r="T3" s="8">
        <f aca="true" t="shared" si="2" ref="T3:T15">ROUND(S3,0)</f>
        <v>8</v>
      </c>
      <c r="U3" s="1" t="s">
        <v>31</v>
      </c>
      <c r="V3" s="48">
        <f>COUNTIF(T3:T15,7)+COUNTIF(T3:T15,8)</f>
        <v>3</v>
      </c>
      <c r="W3" s="47">
        <f>V3/$B$15</f>
        <v>0.23076923076923078</v>
      </c>
    </row>
    <row r="4" spans="1:23" ht="12.75">
      <c r="A4" s="3">
        <f t="shared" si="0"/>
        <v>6.1</v>
      </c>
      <c r="B4" s="61">
        <v>2</v>
      </c>
      <c r="C4" s="2" t="s">
        <v>213</v>
      </c>
      <c r="D4" s="146">
        <v>2</v>
      </c>
      <c r="E4" s="85">
        <v>5</v>
      </c>
      <c r="F4" s="222"/>
      <c r="G4" s="99">
        <v>10</v>
      </c>
      <c r="H4" s="122"/>
      <c r="I4" s="120">
        <v>4</v>
      </c>
      <c r="J4" s="110">
        <v>1</v>
      </c>
      <c r="K4" s="98">
        <v>6</v>
      </c>
      <c r="L4" s="120"/>
      <c r="M4" s="113">
        <v>4</v>
      </c>
      <c r="N4" s="101">
        <v>9</v>
      </c>
      <c r="O4" s="133">
        <v>9</v>
      </c>
      <c r="P4" s="133">
        <v>6</v>
      </c>
      <c r="Q4" s="120"/>
      <c r="R4" s="98">
        <v>7</v>
      </c>
      <c r="S4" s="105">
        <f t="shared" si="1"/>
        <v>6.1</v>
      </c>
      <c r="T4" s="8">
        <f t="shared" si="2"/>
        <v>6</v>
      </c>
      <c r="U4" s="1" t="s">
        <v>32</v>
      </c>
      <c r="V4" s="48">
        <f>COUNTIF(T3:T15,4)+COUNTIF(T3:T15,5)+COUNTIF(T3:T15,6)</f>
        <v>10</v>
      </c>
      <c r="W4" s="47">
        <f>V4/$B$15</f>
        <v>0.7692307692307693</v>
      </c>
    </row>
    <row r="5" spans="1:23" ht="12.75">
      <c r="A5" s="3">
        <f t="shared" si="0"/>
        <v>4.8</v>
      </c>
      <c r="B5" s="61">
        <v>3</v>
      </c>
      <c r="C5" s="2" t="s">
        <v>214</v>
      </c>
      <c r="D5" s="146">
        <v>3</v>
      </c>
      <c r="E5" s="85">
        <v>5</v>
      </c>
      <c r="F5" s="222">
        <v>1</v>
      </c>
      <c r="G5" s="99">
        <v>5</v>
      </c>
      <c r="H5" s="122"/>
      <c r="I5" s="120">
        <v>6</v>
      </c>
      <c r="J5" s="110"/>
      <c r="K5" s="86">
        <v>4</v>
      </c>
      <c r="L5" s="121"/>
      <c r="M5" s="158">
        <v>4</v>
      </c>
      <c r="N5" s="92">
        <v>4</v>
      </c>
      <c r="O5" s="133">
        <v>6</v>
      </c>
      <c r="P5" s="133">
        <v>8</v>
      </c>
      <c r="Q5" s="121"/>
      <c r="R5" s="86">
        <v>5</v>
      </c>
      <c r="S5" s="105">
        <f t="shared" si="1"/>
        <v>4.8</v>
      </c>
      <c r="T5" s="8">
        <f t="shared" si="2"/>
        <v>5</v>
      </c>
      <c r="U5" s="1" t="s">
        <v>33</v>
      </c>
      <c r="V5" s="1">
        <f>COUNTIF(T3:T15,"&lt;4")</f>
        <v>0</v>
      </c>
      <c r="W5" s="47">
        <f>V5/$B$15</f>
        <v>0</v>
      </c>
    </row>
    <row r="6" spans="1:23" ht="12.75">
      <c r="A6" s="3">
        <f t="shared" si="0"/>
        <v>4.076923076923077</v>
      </c>
      <c r="B6" s="61">
        <v>4</v>
      </c>
      <c r="C6" s="2" t="s">
        <v>215</v>
      </c>
      <c r="D6" s="146">
        <v>4</v>
      </c>
      <c r="E6" s="85">
        <v>4</v>
      </c>
      <c r="F6" s="222">
        <v>1</v>
      </c>
      <c r="G6" s="99">
        <v>4</v>
      </c>
      <c r="H6" s="122">
        <v>1</v>
      </c>
      <c r="I6" s="120">
        <v>6</v>
      </c>
      <c r="J6" s="86">
        <v>1</v>
      </c>
      <c r="K6" s="86">
        <v>4</v>
      </c>
      <c r="L6" s="121">
        <v>1</v>
      </c>
      <c r="M6" s="115">
        <v>7</v>
      </c>
      <c r="N6" s="101">
        <v>7</v>
      </c>
      <c r="O6" s="133">
        <v>7</v>
      </c>
      <c r="P6" s="132">
        <v>6</v>
      </c>
      <c r="Q6" s="121"/>
      <c r="R6" s="99">
        <v>4</v>
      </c>
      <c r="S6" s="105">
        <f t="shared" si="1"/>
        <v>4.076923076923077</v>
      </c>
      <c r="T6" s="8">
        <f t="shared" si="2"/>
        <v>4</v>
      </c>
      <c r="U6" s="49" t="s">
        <v>34</v>
      </c>
      <c r="V6" s="1">
        <f>B15-SUM(V3:V5)</f>
        <v>0</v>
      </c>
      <c r="W6" s="47">
        <f>V6/$B$15</f>
        <v>0</v>
      </c>
    </row>
    <row r="7" spans="1:20" ht="12.75">
      <c r="A7" s="3">
        <f t="shared" si="0"/>
        <v>4.090909090909091</v>
      </c>
      <c r="B7" s="61">
        <v>5</v>
      </c>
      <c r="C7" s="2" t="s">
        <v>216</v>
      </c>
      <c r="D7" s="146" t="s">
        <v>273</v>
      </c>
      <c r="E7" s="85">
        <v>5</v>
      </c>
      <c r="F7" s="222">
        <v>1</v>
      </c>
      <c r="G7" s="99">
        <v>4</v>
      </c>
      <c r="H7" s="207"/>
      <c r="I7" s="120">
        <v>4</v>
      </c>
      <c r="J7" s="110"/>
      <c r="K7" s="98">
        <v>6</v>
      </c>
      <c r="L7" s="119">
        <v>1</v>
      </c>
      <c r="M7" s="113">
        <v>6</v>
      </c>
      <c r="N7" s="101">
        <v>4</v>
      </c>
      <c r="O7" s="133">
        <v>6</v>
      </c>
      <c r="P7" s="133">
        <v>4</v>
      </c>
      <c r="Q7" s="119"/>
      <c r="R7" s="98">
        <v>4</v>
      </c>
      <c r="S7" s="105">
        <f t="shared" si="1"/>
        <v>4.090909090909091</v>
      </c>
      <c r="T7" s="8">
        <f t="shared" si="2"/>
        <v>4</v>
      </c>
    </row>
    <row r="8" spans="1:20" ht="12.75">
      <c r="A8" s="3">
        <f t="shared" si="0"/>
        <v>7.555555555555555</v>
      </c>
      <c r="B8" s="61">
        <v>6</v>
      </c>
      <c r="C8" s="2" t="s">
        <v>217</v>
      </c>
      <c r="D8" s="146">
        <v>6</v>
      </c>
      <c r="E8" s="85">
        <v>6</v>
      </c>
      <c r="F8" s="222"/>
      <c r="G8" s="99">
        <v>10</v>
      </c>
      <c r="H8" s="122"/>
      <c r="I8" s="120">
        <v>4</v>
      </c>
      <c r="J8" s="110"/>
      <c r="K8" s="99">
        <v>10</v>
      </c>
      <c r="L8" s="121"/>
      <c r="M8" s="115">
        <v>8</v>
      </c>
      <c r="N8" s="101">
        <v>6</v>
      </c>
      <c r="O8" s="133">
        <v>8</v>
      </c>
      <c r="P8" s="133">
        <v>7</v>
      </c>
      <c r="Q8" s="121"/>
      <c r="R8" s="99">
        <v>9</v>
      </c>
      <c r="S8" s="105">
        <f t="shared" si="1"/>
        <v>7.555555555555555</v>
      </c>
      <c r="T8" s="8">
        <f t="shared" si="2"/>
        <v>8</v>
      </c>
    </row>
    <row r="9" spans="1:20" ht="12.75">
      <c r="A9" s="3">
        <f t="shared" si="0"/>
        <v>3.8333333333333335</v>
      </c>
      <c r="B9" s="61">
        <v>7</v>
      </c>
      <c r="C9" s="2" t="s">
        <v>218</v>
      </c>
      <c r="D9" s="146" t="s">
        <v>272</v>
      </c>
      <c r="E9" s="85">
        <v>4</v>
      </c>
      <c r="F9" s="222">
        <v>1</v>
      </c>
      <c r="G9" s="99">
        <v>4</v>
      </c>
      <c r="H9" s="122">
        <v>1</v>
      </c>
      <c r="I9" s="120">
        <v>5</v>
      </c>
      <c r="J9" s="113">
        <v>1</v>
      </c>
      <c r="K9" s="86">
        <v>6</v>
      </c>
      <c r="L9" s="122"/>
      <c r="M9" s="115">
        <v>4</v>
      </c>
      <c r="N9" s="101">
        <v>4</v>
      </c>
      <c r="O9" s="133">
        <v>4</v>
      </c>
      <c r="P9" s="133">
        <v>6</v>
      </c>
      <c r="Q9" s="122"/>
      <c r="R9" s="99">
        <v>6</v>
      </c>
      <c r="S9" s="105">
        <f t="shared" si="1"/>
        <v>3.8333333333333335</v>
      </c>
      <c r="T9" s="8">
        <f t="shared" si="2"/>
        <v>4</v>
      </c>
    </row>
    <row r="10" spans="1:20" ht="12.75">
      <c r="A10" s="3">
        <f t="shared" si="0"/>
        <v>3.6153846153846154</v>
      </c>
      <c r="B10" s="61">
        <v>8</v>
      </c>
      <c r="C10" s="2" t="s">
        <v>219</v>
      </c>
      <c r="D10" s="146">
        <v>8</v>
      </c>
      <c r="E10" s="85">
        <v>5</v>
      </c>
      <c r="F10" s="222">
        <v>1</v>
      </c>
      <c r="G10" s="99">
        <v>4</v>
      </c>
      <c r="H10" s="122">
        <v>1</v>
      </c>
      <c r="I10" s="120">
        <v>5</v>
      </c>
      <c r="J10" s="110">
        <v>1</v>
      </c>
      <c r="K10" s="99">
        <v>4</v>
      </c>
      <c r="L10" s="121">
        <v>1</v>
      </c>
      <c r="M10" s="115">
        <v>6</v>
      </c>
      <c r="N10" s="101">
        <v>6</v>
      </c>
      <c r="O10" s="133">
        <v>4</v>
      </c>
      <c r="P10" s="133">
        <v>4</v>
      </c>
      <c r="Q10" s="122"/>
      <c r="R10" s="99">
        <v>5</v>
      </c>
      <c r="S10" s="105">
        <f t="shared" si="1"/>
        <v>3.6153846153846154</v>
      </c>
      <c r="T10" s="8">
        <f t="shared" si="2"/>
        <v>4</v>
      </c>
    </row>
    <row r="11" spans="1:20" ht="12.75">
      <c r="A11" s="3">
        <f t="shared" si="0"/>
        <v>5.555555555555555</v>
      </c>
      <c r="B11" s="61">
        <v>9</v>
      </c>
      <c r="C11" s="2" t="s">
        <v>220</v>
      </c>
      <c r="D11" s="146" t="s">
        <v>274</v>
      </c>
      <c r="E11" s="85">
        <v>5</v>
      </c>
      <c r="F11" s="222"/>
      <c r="G11" s="99">
        <v>10</v>
      </c>
      <c r="H11" s="122"/>
      <c r="I11" s="120">
        <v>5</v>
      </c>
      <c r="J11" s="110"/>
      <c r="K11" s="86">
        <v>5</v>
      </c>
      <c r="L11" s="121"/>
      <c r="M11" s="115">
        <v>6</v>
      </c>
      <c r="N11" s="101">
        <v>4</v>
      </c>
      <c r="O11" s="133">
        <v>4</v>
      </c>
      <c r="P11" s="132">
        <v>5</v>
      </c>
      <c r="Q11" s="121"/>
      <c r="R11" s="99">
        <v>6</v>
      </c>
      <c r="S11" s="105">
        <f t="shared" si="1"/>
        <v>5.555555555555555</v>
      </c>
      <c r="T11" s="8">
        <f t="shared" si="2"/>
        <v>6</v>
      </c>
    </row>
    <row r="12" spans="1:20" ht="12.75">
      <c r="A12" s="3">
        <f t="shared" si="0"/>
        <v>3.9166666666666665</v>
      </c>
      <c r="B12" s="61">
        <v>10</v>
      </c>
      <c r="C12" s="2" t="s">
        <v>221</v>
      </c>
      <c r="D12" s="146" t="s">
        <v>275</v>
      </c>
      <c r="E12" s="85">
        <v>4</v>
      </c>
      <c r="F12" s="222">
        <v>1</v>
      </c>
      <c r="G12" s="99">
        <v>4</v>
      </c>
      <c r="H12" s="122">
        <v>1</v>
      </c>
      <c r="I12" s="120">
        <v>6</v>
      </c>
      <c r="J12" s="158">
        <v>1</v>
      </c>
      <c r="K12" s="86">
        <v>6</v>
      </c>
      <c r="L12" s="122"/>
      <c r="M12" s="115">
        <v>6</v>
      </c>
      <c r="N12" s="101">
        <v>4</v>
      </c>
      <c r="O12" s="133">
        <v>4</v>
      </c>
      <c r="P12" s="133">
        <v>5</v>
      </c>
      <c r="Q12" s="122"/>
      <c r="R12" s="99">
        <v>5</v>
      </c>
      <c r="S12" s="105">
        <f t="shared" si="1"/>
        <v>3.9166666666666665</v>
      </c>
      <c r="T12" s="8">
        <f t="shared" si="2"/>
        <v>4</v>
      </c>
    </row>
    <row r="13" spans="1:20" ht="12.75">
      <c r="A13" s="3">
        <f t="shared" si="0"/>
        <v>5.2</v>
      </c>
      <c r="B13" s="61">
        <v>11</v>
      </c>
      <c r="C13" s="2" t="s">
        <v>222</v>
      </c>
      <c r="D13" s="146">
        <v>11</v>
      </c>
      <c r="E13" s="85">
        <v>8</v>
      </c>
      <c r="F13" s="222"/>
      <c r="G13" s="99">
        <v>10</v>
      </c>
      <c r="H13" s="122">
        <v>1</v>
      </c>
      <c r="I13" s="120">
        <v>5</v>
      </c>
      <c r="J13" s="219"/>
      <c r="K13" s="99">
        <v>5</v>
      </c>
      <c r="L13" s="122"/>
      <c r="M13" s="158">
        <v>6</v>
      </c>
      <c r="N13" s="92">
        <v>4</v>
      </c>
      <c r="O13" s="132">
        <v>4</v>
      </c>
      <c r="P13" s="133">
        <v>4</v>
      </c>
      <c r="Q13" s="122"/>
      <c r="R13" s="86">
        <v>5</v>
      </c>
      <c r="S13" s="105">
        <f t="shared" si="1"/>
        <v>5.2</v>
      </c>
      <c r="T13" s="8">
        <f t="shared" si="2"/>
        <v>5</v>
      </c>
    </row>
    <row r="14" spans="1:20" ht="12.75">
      <c r="A14" s="3">
        <f t="shared" si="0"/>
        <v>4.545454545454546</v>
      </c>
      <c r="B14" s="61">
        <v>12</v>
      </c>
      <c r="C14" s="2" t="s">
        <v>223</v>
      </c>
      <c r="D14" s="146">
        <v>12</v>
      </c>
      <c r="E14" s="85">
        <v>10</v>
      </c>
      <c r="F14" s="222">
        <v>1</v>
      </c>
      <c r="G14" s="99">
        <v>4</v>
      </c>
      <c r="H14" s="122"/>
      <c r="I14" s="120">
        <v>5</v>
      </c>
      <c r="J14" s="110">
        <v>1</v>
      </c>
      <c r="K14" s="99">
        <v>6</v>
      </c>
      <c r="L14" s="121"/>
      <c r="M14" s="115">
        <v>6</v>
      </c>
      <c r="N14" s="101">
        <v>4</v>
      </c>
      <c r="O14" s="133">
        <v>4</v>
      </c>
      <c r="P14" s="133">
        <v>4</v>
      </c>
      <c r="Q14" s="122"/>
      <c r="R14" s="99">
        <v>5</v>
      </c>
      <c r="S14" s="105">
        <f t="shared" si="1"/>
        <v>4.545454545454546</v>
      </c>
      <c r="T14" s="8">
        <f t="shared" si="2"/>
        <v>5</v>
      </c>
    </row>
    <row r="15" spans="1:20" ht="13.5" thickBot="1">
      <c r="A15" s="3">
        <f t="shared" si="0"/>
        <v>6.555555555555555</v>
      </c>
      <c r="B15" s="61">
        <v>13</v>
      </c>
      <c r="C15" s="138" t="s">
        <v>224</v>
      </c>
      <c r="D15" s="211" t="s">
        <v>271</v>
      </c>
      <c r="E15" s="85">
        <v>5</v>
      </c>
      <c r="F15" s="222"/>
      <c r="G15" s="99">
        <v>10</v>
      </c>
      <c r="H15" s="122"/>
      <c r="I15" s="120">
        <v>5</v>
      </c>
      <c r="J15" s="110"/>
      <c r="K15" s="99">
        <v>10</v>
      </c>
      <c r="L15" s="121"/>
      <c r="M15" s="115">
        <v>4</v>
      </c>
      <c r="N15" s="101">
        <v>4</v>
      </c>
      <c r="O15" s="133">
        <v>6</v>
      </c>
      <c r="P15" s="133">
        <v>6</v>
      </c>
      <c r="Q15" s="122"/>
      <c r="R15" s="99">
        <v>9</v>
      </c>
      <c r="S15" s="105">
        <f t="shared" si="1"/>
        <v>6.555555555555555</v>
      </c>
      <c r="T15" s="8">
        <f t="shared" si="2"/>
        <v>7</v>
      </c>
    </row>
    <row r="16" spans="2:20" s="5" customFormat="1" ht="12.75">
      <c r="B16" s="232" t="s">
        <v>0</v>
      </c>
      <c r="C16" s="233"/>
      <c r="D16" s="233"/>
      <c r="E16" s="123"/>
      <c r="F16" s="34"/>
      <c r="G16" s="124">
        <f>AVERAGE(G3:G15)</f>
        <v>6.846153846153846</v>
      </c>
      <c r="H16" s="102"/>
      <c r="I16" s="80"/>
      <c r="J16" s="128"/>
      <c r="K16" s="90">
        <f>AVERAGE(K3:K15)</f>
        <v>6.076923076923077</v>
      </c>
      <c r="L16" s="80"/>
      <c r="M16" s="114">
        <f>AVERAGE(M3:M15)</f>
        <v>5.846153846153846</v>
      </c>
      <c r="N16" s="140">
        <f>AVERAGE(N3:N15)</f>
        <v>5.3076923076923075</v>
      </c>
      <c r="O16" s="148">
        <f>AVERAGE(O3:O15)</f>
        <v>5.846153846153846</v>
      </c>
      <c r="P16" s="148">
        <f>AVERAGE(P3:P15)</f>
        <v>5.615384615384615</v>
      </c>
      <c r="Q16" s="80"/>
      <c r="R16" s="90">
        <f>AVERAGE(R3:R15)</f>
        <v>6.076923076923077</v>
      </c>
      <c r="S16" s="102">
        <f>AVERAGE(S3:S15)</f>
        <v>5.2017781363935205</v>
      </c>
      <c r="T16" s="34">
        <f>AVERAGE(T3:T15)</f>
        <v>5.384615384615385</v>
      </c>
    </row>
    <row r="17" spans="2:20" s="5" customFormat="1" ht="13.5" thickBot="1">
      <c r="B17" s="232"/>
      <c r="C17" s="233"/>
      <c r="D17" s="233"/>
      <c r="E17" s="247" t="s">
        <v>238</v>
      </c>
      <c r="F17" s="253"/>
      <c r="G17" s="230"/>
      <c r="H17" s="220"/>
      <c r="I17" s="236" t="s">
        <v>239</v>
      </c>
      <c r="J17" s="236"/>
      <c r="K17" s="235"/>
      <c r="L17" s="236" t="s">
        <v>63</v>
      </c>
      <c r="M17" s="236"/>
      <c r="N17" s="94" t="s">
        <v>64</v>
      </c>
      <c r="O17" s="129" t="s">
        <v>65</v>
      </c>
      <c r="P17" s="129" t="s">
        <v>66</v>
      </c>
      <c r="Q17" s="236" t="s">
        <v>67</v>
      </c>
      <c r="R17" s="235"/>
      <c r="S17" s="96"/>
      <c r="T17" s="9"/>
    </row>
    <row r="18" spans="2:20" ht="12.75">
      <c r="B18" s="244" t="s">
        <v>46</v>
      </c>
      <c r="C18" s="245"/>
      <c r="D18" s="246"/>
      <c r="E18" s="237" t="s">
        <v>22</v>
      </c>
      <c r="F18" s="238"/>
      <c r="G18" s="238"/>
      <c r="H18" s="238"/>
      <c r="I18" s="238"/>
      <c r="J18" s="238"/>
      <c r="K18" s="238"/>
      <c r="L18" s="226"/>
      <c r="M18" s="226"/>
      <c r="N18" s="238"/>
      <c r="O18" s="238"/>
      <c r="P18" s="226"/>
      <c r="Q18" s="226"/>
      <c r="R18" s="226"/>
      <c r="S18" s="35">
        <f>T18/B15</f>
        <v>1</v>
      </c>
      <c r="T18" s="8">
        <f>COUNTIF(T3:T15,"&gt;3")</f>
        <v>13</v>
      </c>
    </row>
    <row r="19" spans="2:20" ht="12.75">
      <c r="B19" s="244" t="s">
        <v>47</v>
      </c>
      <c r="C19" s="245"/>
      <c r="D19" s="246"/>
      <c r="E19" s="13"/>
      <c r="F19" s="13"/>
      <c r="G19" s="4"/>
      <c r="H19" s="4"/>
      <c r="I19" s="13"/>
      <c r="J19" s="13"/>
      <c r="K19" s="4"/>
      <c r="L19" s="4"/>
      <c r="M19" s="4"/>
      <c r="N19" s="4"/>
      <c r="O19" s="4"/>
      <c r="P19" s="13"/>
      <c r="Q19" s="4"/>
      <c r="R19" s="4"/>
      <c r="S19" s="35">
        <f>T19/B15</f>
        <v>0.23076923076923078</v>
      </c>
      <c r="T19" s="8">
        <f>COUNTIF(T3:T15,"&gt;6")</f>
        <v>3</v>
      </c>
    </row>
    <row r="21" ht="12.75">
      <c r="C21" t="s">
        <v>191</v>
      </c>
    </row>
    <row r="23" spans="23:25" ht="12.75">
      <c r="W23" s="54"/>
      <c r="X23" s="54"/>
      <c r="Y23" s="3"/>
    </row>
  </sheetData>
  <sheetProtection/>
  <mergeCells count="10">
    <mergeCell ref="Q17:R17"/>
    <mergeCell ref="B19:D19"/>
    <mergeCell ref="C1:M1"/>
    <mergeCell ref="B16:D16"/>
    <mergeCell ref="B17:D17"/>
    <mergeCell ref="B18:D18"/>
    <mergeCell ref="E17:G17"/>
    <mergeCell ref="I17:K17"/>
    <mergeCell ref="L17:M17"/>
    <mergeCell ref="E18:R18"/>
  </mergeCells>
  <conditionalFormatting sqref="T3:T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S3:S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1"/>
  <sheetViews>
    <sheetView zoomScale="95" zoomScaleNormal="95" zoomScalePageLayoutView="0" workbookViewId="0" topLeftCell="B1">
      <selection activeCell="V5" sqref="V5"/>
    </sheetView>
  </sheetViews>
  <sheetFormatPr defaultColWidth="9.00390625" defaultRowHeight="12.75"/>
  <cols>
    <col min="1" max="1" width="6.25390625" style="0" hidden="1" customWidth="1"/>
    <col min="2" max="2" width="4.375" style="0" customWidth="1"/>
    <col min="3" max="3" width="21.125" style="0" customWidth="1"/>
    <col min="4" max="4" width="8.875" style="0" customWidth="1"/>
    <col min="5" max="5" width="5.125" style="0" customWidth="1"/>
    <col min="6" max="6" width="4.75390625" style="0" customWidth="1"/>
    <col min="7" max="7" width="4.875" style="0" customWidth="1"/>
    <col min="8" max="8" width="5.125" style="0" customWidth="1"/>
    <col min="9" max="9" width="5.875" style="0" customWidth="1"/>
    <col min="10" max="10" width="5.875" style="0" bestFit="1" customWidth="1"/>
    <col min="11" max="12" width="5.875" style="0" customWidth="1"/>
    <col min="13" max="13" width="5.25390625" style="0" customWidth="1"/>
    <col min="14" max="16" width="5.875" style="0" customWidth="1"/>
    <col min="17" max="17" width="6.25390625" style="0" customWidth="1"/>
    <col min="18" max="19" width="5.875" style="0" customWidth="1"/>
    <col min="20" max="20" width="6.00390625" style="0" customWidth="1"/>
    <col min="21" max="21" width="9.25390625" style="3" bestFit="1" customWidth="1"/>
    <col min="22" max="22" width="9.25390625" style="10" bestFit="1" customWidth="1"/>
    <col min="24" max="25" width="9.25390625" style="0" bestFit="1" customWidth="1"/>
  </cols>
  <sheetData>
    <row r="1" spans="3:34" ht="13.5" thickBot="1">
      <c r="C1" s="239" t="s">
        <v>193</v>
      </c>
      <c r="D1" s="239"/>
      <c r="E1" s="239"/>
      <c r="F1" s="239"/>
      <c r="G1" s="239"/>
      <c r="H1" s="239"/>
      <c r="I1" s="239"/>
      <c r="J1" s="239"/>
      <c r="K1" s="33"/>
      <c r="L1" s="33"/>
      <c r="M1" s="33"/>
      <c r="N1" s="33"/>
      <c r="O1" s="33"/>
      <c r="P1" s="33"/>
      <c r="Q1" s="62"/>
      <c r="R1" s="33"/>
      <c r="S1" s="33"/>
      <c r="T1" s="33"/>
      <c r="U1" s="62"/>
      <c r="V1" s="62"/>
      <c r="W1" s="33"/>
      <c r="X1" s="33"/>
      <c r="Y1" s="33"/>
      <c r="Z1" s="33"/>
      <c r="AA1" s="33"/>
      <c r="AB1" s="33"/>
      <c r="AC1" s="64"/>
      <c r="AD1" s="65"/>
      <c r="AG1" s="14"/>
      <c r="AH1" s="15"/>
    </row>
    <row r="2" spans="2:30" ht="16.5" customHeight="1" thickBot="1">
      <c r="B2" s="66" t="s">
        <v>73</v>
      </c>
      <c r="C2" s="67" t="s">
        <v>26</v>
      </c>
      <c r="D2" s="68" t="s">
        <v>74</v>
      </c>
      <c r="E2" s="127">
        <v>42031</v>
      </c>
      <c r="F2" s="82">
        <v>42033</v>
      </c>
      <c r="G2" s="127">
        <v>42066</v>
      </c>
      <c r="H2" s="82">
        <v>42073</v>
      </c>
      <c r="I2" s="127">
        <v>42087</v>
      </c>
      <c r="J2" s="125">
        <v>42089</v>
      </c>
      <c r="K2" s="156">
        <v>42117</v>
      </c>
      <c r="L2" s="82">
        <v>42122</v>
      </c>
      <c r="M2" s="118">
        <v>42131</v>
      </c>
      <c r="N2" s="82">
        <v>42137</v>
      </c>
      <c r="O2" s="127">
        <v>42171</v>
      </c>
      <c r="P2" s="82">
        <v>42172</v>
      </c>
      <c r="Q2" s="130">
        <v>42173</v>
      </c>
      <c r="R2" s="118">
        <v>42174</v>
      </c>
      <c r="S2" s="127">
        <v>42177</v>
      </c>
      <c r="T2" s="82">
        <v>42178</v>
      </c>
      <c r="U2" s="69" t="s">
        <v>24</v>
      </c>
      <c r="V2" s="70" t="s">
        <v>205</v>
      </c>
      <c r="W2" s="33"/>
      <c r="X2" s="33"/>
      <c r="Y2" s="33"/>
      <c r="Z2" s="33"/>
      <c r="AA2" s="33"/>
      <c r="AB2" s="33"/>
      <c r="AC2" s="33"/>
      <c r="AD2" s="33"/>
    </row>
    <row r="3" spans="1:25" ht="12.75">
      <c r="A3" s="3">
        <f aca="true" t="shared" si="0" ref="A3:A15">U3</f>
        <v>8.5</v>
      </c>
      <c r="B3" s="135">
        <v>1</v>
      </c>
      <c r="C3" s="136" t="s">
        <v>212</v>
      </c>
      <c r="D3" s="146">
        <v>1</v>
      </c>
      <c r="E3" s="142" t="s">
        <v>206</v>
      </c>
      <c r="F3" s="143">
        <v>9</v>
      </c>
      <c r="G3" s="109"/>
      <c r="H3" s="84">
        <v>9</v>
      </c>
      <c r="I3" s="149"/>
      <c r="J3" s="157">
        <v>7</v>
      </c>
      <c r="K3" s="19"/>
      <c r="L3" s="84">
        <v>9</v>
      </c>
      <c r="M3" s="119"/>
      <c r="N3" s="84">
        <v>7</v>
      </c>
      <c r="O3" s="109"/>
      <c r="P3" s="84">
        <v>9</v>
      </c>
      <c r="Q3" s="131">
        <v>9</v>
      </c>
      <c r="R3" s="144"/>
      <c r="S3" s="149"/>
      <c r="T3" s="143">
        <v>9</v>
      </c>
      <c r="U3" s="95">
        <f aca="true" t="shared" si="1" ref="U3:U15">AVERAGE(E3:T3)</f>
        <v>8.5</v>
      </c>
      <c r="V3" s="36">
        <f aca="true" t="shared" si="2" ref="V3:V15">ROUND(U3,0)</f>
        <v>9</v>
      </c>
      <c r="W3" s="1" t="s">
        <v>30</v>
      </c>
      <c r="X3" s="1">
        <f>COUNTIF(V3:V15,"&gt;8")</f>
        <v>3</v>
      </c>
      <c r="Y3" s="47">
        <f>X3/$B$15</f>
        <v>0.23076923076923078</v>
      </c>
    </row>
    <row r="4" spans="1:25" ht="12.75">
      <c r="A4" s="3">
        <f t="shared" si="0"/>
        <v>8.625</v>
      </c>
      <c r="B4" s="137">
        <v>2</v>
      </c>
      <c r="C4" s="2" t="s">
        <v>213</v>
      </c>
      <c r="D4" s="146">
        <v>2</v>
      </c>
      <c r="E4" s="112" t="s">
        <v>206</v>
      </c>
      <c r="F4" s="86">
        <v>8</v>
      </c>
      <c r="G4" s="111"/>
      <c r="H4" s="86">
        <v>9</v>
      </c>
      <c r="I4" s="111"/>
      <c r="J4" s="158">
        <v>7</v>
      </c>
      <c r="K4" s="12"/>
      <c r="L4" s="86">
        <v>9</v>
      </c>
      <c r="M4" s="121"/>
      <c r="N4" s="86">
        <v>10</v>
      </c>
      <c r="O4" s="111"/>
      <c r="P4" s="86">
        <v>10</v>
      </c>
      <c r="Q4" s="132">
        <v>7</v>
      </c>
      <c r="R4" s="87"/>
      <c r="S4" s="111"/>
      <c r="T4" s="86">
        <v>9</v>
      </c>
      <c r="U4" s="95">
        <f t="shared" si="1"/>
        <v>8.625</v>
      </c>
      <c r="V4" s="8">
        <f t="shared" si="2"/>
        <v>9</v>
      </c>
      <c r="W4" s="1" t="s">
        <v>31</v>
      </c>
      <c r="X4" s="48">
        <f>COUNTIF(V3:V15,7)+COUNTIF(V3:V15,8)</f>
        <v>7</v>
      </c>
      <c r="Y4" s="47">
        <f>X4/$B$15</f>
        <v>0.5384615384615384</v>
      </c>
    </row>
    <row r="5" spans="1:25" ht="12.75">
      <c r="A5" s="3">
        <f t="shared" si="0"/>
        <v>7.625</v>
      </c>
      <c r="B5" s="137">
        <v>3</v>
      </c>
      <c r="C5" s="2" t="s">
        <v>214</v>
      </c>
      <c r="D5" s="146">
        <v>3</v>
      </c>
      <c r="E5" s="112"/>
      <c r="F5" s="99">
        <v>10</v>
      </c>
      <c r="G5" s="111"/>
      <c r="H5" s="86">
        <v>9</v>
      </c>
      <c r="I5" s="111"/>
      <c r="J5" s="115">
        <v>6</v>
      </c>
      <c r="K5" s="12"/>
      <c r="L5" s="99">
        <v>8</v>
      </c>
      <c r="M5" s="121"/>
      <c r="N5" s="86">
        <v>8</v>
      </c>
      <c r="O5" s="111"/>
      <c r="P5" s="86">
        <v>6</v>
      </c>
      <c r="Q5" s="132">
        <v>6</v>
      </c>
      <c r="R5" s="87"/>
      <c r="S5" s="111"/>
      <c r="T5" s="86">
        <v>8</v>
      </c>
      <c r="U5" s="95">
        <f t="shared" si="1"/>
        <v>7.625</v>
      </c>
      <c r="V5" s="8">
        <f t="shared" si="2"/>
        <v>8</v>
      </c>
      <c r="W5" s="1" t="s">
        <v>32</v>
      </c>
      <c r="X5" s="48">
        <f>COUNTIF(V3:V15,4)+COUNTIF(V3:V15,5)+COUNTIF(V3:V15,6)</f>
        <v>3</v>
      </c>
      <c r="Y5" s="47">
        <f>X5/$B$15</f>
        <v>0.23076923076923078</v>
      </c>
    </row>
    <row r="6" spans="1:25" ht="12.75">
      <c r="A6" s="3">
        <f t="shared" si="0"/>
        <v>6.5</v>
      </c>
      <c r="B6" s="137">
        <v>4</v>
      </c>
      <c r="C6" s="2" t="s">
        <v>215</v>
      </c>
      <c r="D6" s="146">
        <v>4</v>
      </c>
      <c r="E6" s="111" t="s">
        <v>206</v>
      </c>
      <c r="F6" s="86">
        <v>5</v>
      </c>
      <c r="G6" s="111"/>
      <c r="H6" s="99">
        <v>7</v>
      </c>
      <c r="I6" s="111"/>
      <c r="J6" s="115">
        <v>4</v>
      </c>
      <c r="K6" s="12"/>
      <c r="L6" s="86">
        <v>7</v>
      </c>
      <c r="M6" s="121"/>
      <c r="N6" s="86">
        <v>7</v>
      </c>
      <c r="O6" s="111"/>
      <c r="P6" s="86">
        <v>6</v>
      </c>
      <c r="Q6" s="132">
        <v>7</v>
      </c>
      <c r="R6" s="87"/>
      <c r="S6" s="111"/>
      <c r="T6" s="86">
        <v>9</v>
      </c>
      <c r="U6" s="95">
        <f t="shared" si="1"/>
        <v>6.5</v>
      </c>
      <c r="V6" s="8">
        <f t="shared" si="2"/>
        <v>7</v>
      </c>
      <c r="W6" s="1" t="s">
        <v>33</v>
      </c>
      <c r="X6" s="1">
        <f>COUNTIF(V3:V15,"&lt;4")</f>
        <v>0</v>
      </c>
      <c r="Y6" s="47">
        <f>X6/$B$15</f>
        <v>0</v>
      </c>
    </row>
    <row r="7" spans="1:25" ht="12.75">
      <c r="A7" s="3">
        <f t="shared" si="0"/>
        <v>4.6</v>
      </c>
      <c r="B7" s="137">
        <v>5</v>
      </c>
      <c r="C7" s="2" t="s">
        <v>216</v>
      </c>
      <c r="D7" s="146" t="s">
        <v>273</v>
      </c>
      <c r="E7" s="111"/>
      <c r="F7" s="86">
        <v>8</v>
      </c>
      <c r="G7" s="111"/>
      <c r="H7" s="86">
        <v>5</v>
      </c>
      <c r="I7" s="111"/>
      <c r="J7" s="158">
        <v>4</v>
      </c>
      <c r="K7" s="12">
        <v>1</v>
      </c>
      <c r="L7" s="99">
        <v>7</v>
      </c>
      <c r="M7" s="122">
        <v>1</v>
      </c>
      <c r="N7" s="99">
        <v>4</v>
      </c>
      <c r="O7" s="112"/>
      <c r="P7" s="99">
        <v>4</v>
      </c>
      <c r="Q7" s="132">
        <v>6</v>
      </c>
      <c r="R7" s="85"/>
      <c r="S7" s="112"/>
      <c r="T7" s="86">
        <v>6</v>
      </c>
      <c r="U7" s="95">
        <f t="shared" si="1"/>
        <v>4.6</v>
      </c>
      <c r="V7" s="8">
        <f t="shared" si="2"/>
        <v>5</v>
      </c>
      <c r="W7" s="49" t="s">
        <v>34</v>
      </c>
      <c r="X7" s="1">
        <f>B15-SUM(X3:X6)</f>
        <v>0</v>
      </c>
      <c r="Y7" s="47">
        <f>X7/$B$15</f>
        <v>0</v>
      </c>
    </row>
    <row r="8" spans="1:22" ht="12.75">
      <c r="A8" s="3">
        <f t="shared" si="0"/>
        <v>8.5</v>
      </c>
      <c r="B8" s="137">
        <v>6</v>
      </c>
      <c r="C8" s="2" t="s">
        <v>217</v>
      </c>
      <c r="D8" s="146">
        <v>6</v>
      </c>
      <c r="E8" s="111"/>
      <c r="F8" s="99">
        <v>8</v>
      </c>
      <c r="G8" s="111"/>
      <c r="H8" s="99">
        <v>8</v>
      </c>
      <c r="I8" s="111"/>
      <c r="J8" s="115">
        <v>8</v>
      </c>
      <c r="K8" s="12"/>
      <c r="L8" s="99">
        <v>9</v>
      </c>
      <c r="M8" s="121"/>
      <c r="N8" s="86">
        <v>9</v>
      </c>
      <c r="O8" s="111"/>
      <c r="P8" s="86">
        <v>8</v>
      </c>
      <c r="Q8" s="132">
        <v>9</v>
      </c>
      <c r="R8" s="87"/>
      <c r="S8" s="111"/>
      <c r="T8" s="86">
        <v>9</v>
      </c>
      <c r="U8" s="95">
        <f t="shared" si="1"/>
        <v>8.5</v>
      </c>
      <c r="V8" s="8">
        <f t="shared" si="2"/>
        <v>9</v>
      </c>
    </row>
    <row r="9" spans="1:22" ht="12.75">
      <c r="A9" s="3">
        <f t="shared" si="0"/>
        <v>6.5</v>
      </c>
      <c r="B9" s="137">
        <v>7</v>
      </c>
      <c r="C9" s="2" t="s">
        <v>218</v>
      </c>
      <c r="D9" s="146" t="s">
        <v>272</v>
      </c>
      <c r="E9" s="111"/>
      <c r="F9" s="86">
        <v>8</v>
      </c>
      <c r="G9" s="111"/>
      <c r="H9" s="86">
        <v>6</v>
      </c>
      <c r="I9" s="111"/>
      <c r="J9" s="158">
        <v>4</v>
      </c>
      <c r="K9" s="12"/>
      <c r="L9" s="86">
        <v>5</v>
      </c>
      <c r="M9" s="121"/>
      <c r="N9" s="86">
        <v>7</v>
      </c>
      <c r="O9" s="111"/>
      <c r="P9" s="86">
        <v>6</v>
      </c>
      <c r="Q9" s="132">
        <v>8</v>
      </c>
      <c r="R9" s="87"/>
      <c r="S9" s="111"/>
      <c r="T9" s="99">
        <v>8</v>
      </c>
      <c r="U9" s="95">
        <f t="shared" si="1"/>
        <v>6.5</v>
      </c>
      <c r="V9" s="8">
        <f t="shared" si="2"/>
        <v>7</v>
      </c>
    </row>
    <row r="10" spans="1:22" ht="12.75">
      <c r="A10" s="3">
        <f t="shared" si="0"/>
        <v>3.909090909090909</v>
      </c>
      <c r="B10" s="137">
        <v>8</v>
      </c>
      <c r="C10" s="2" t="s">
        <v>219</v>
      </c>
      <c r="D10" s="146">
        <v>8</v>
      </c>
      <c r="E10" s="111"/>
      <c r="F10" s="86">
        <v>5</v>
      </c>
      <c r="G10" s="111"/>
      <c r="H10" s="99">
        <v>4</v>
      </c>
      <c r="I10" s="111">
        <v>1</v>
      </c>
      <c r="J10" s="115">
        <v>5</v>
      </c>
      <c r="K10" s="12">
        <v>1</v>
      </c>
      <c r="L10" s="99">
        <v>6</v>
      </c>
      <c r="M10" s="121">
        <v>1</v>
      </c>
      <c r="N10" s="99">
        <v>5</v>
      </c>
      <c r="O10" s="111"/>
      <c r="P10" s="99">
        <v>4</v>
      </c>
      <c r="Q10" s="132">
        <v>6</v>
      </c>
      <c r="R10" s="87"/>
      <c r="S10" s="111"/>
      <c r="T10" s="86">
        <v>5</v>
      </c>
      <c r="U10" s="95">
        <f t="shared" si="1"/>
        <v>3.909090909090909</v>
      </c>
      <c r="V10" s="8">
        <f t="shared" si="2"/>
        <v>4</v>
      </c>
    </row>
    <row r="11" spans="1:22" ht="12.75">
      <c r="A11" s="3">
        <f t="shared" si="0"/>
        <v>7.5</v>
      </c>
      <c r="B11" s="137">
        <v>9</v>
      </c>
      <c r="C11" s="2" t="s">
        <v>220</v>
      </c>
      <c r="D11" s="146" t="s">
        <v>274</v>
      </c>
      <c r="E11" s="112"/>
      <c r="F11" s="86">
        <v>9</v>
      </c>
      <c r="G11" s="111"/>
      <c r="H11" s="86">
        <v>7</v>
      </c>
      <c r="I11" s="111"/>
      <c r="J11" s="158">
        <v>5</v>
      </c>
      <c r="K11" s="12"/>
      <c r="L11" s="86">
        <v>9</v>
      </c>
      <c r="M11" s="121"/>
      <c r="N11" s="86">
        <v>9</v>
      </c>
      <c r="O11" s="111"/>
      <c r="P11" s="86">
        <v>5</v>
      </c>
      <c r="Q11" s="132">
        <v>8</v>
      </c>
      <c r="R11" s="87"/>
      <c r="S11" s="111"/>
      <c r="T11" s="86">
        <v>8</v>
      </c>
      <c r="U11" s="95">
        <f t="shared" si="1"/>
        <v>7.5</v>
      </c>
      <c r="V11" s="8">
        <f t="shared" si="2"/>
        <v>8</v>
      </c>
    </row>
    <row r="12" spans="1:22" ht="12.75">
      <c r="A12" s="3">
        <f t="shared" si="0"/>
        <v>4.9</v>
      </c>
      <c r="B12" s="137">
        <v>10</v>
      </c>
      <c r="C12" s="151" t="s">
        <v>221</v>
      </c>
      <c r="D12" s="146" t="s">
        <v>275</v>
      </c>
      <c r="E12" s="111" t="s">
        <v>206</v>
      </c>
      <c r="F12" s="86">
        <v>8</v>
      </c>
      <c r="G12" s="112"/>
      <c r="H12" s="99">
        <v>4</v>
      </c>
      <c r="I12" s="112">
        <v>1</v>
      </c>
      <c r="J12" s="115">
        <v>5</v>
      </c>
      <c r="K12" s="12">
        <v>1</v>
      </c>
      <c r="L12" s="99">
        <v>6</v>
      </c>
      <c r="M12" s="121"/>
      <c r="N12" s="86">
        <v>9</v>
      </c>
      <c r="O12" s="111"/>
      <c r="P12" s="86">
        <v>6</v>
      </c>
      <c r="Q12" s="133">
        <v>4</v>
      </c>
      <c r="R12" s="87"/>
      <c r="S12" s="111"/>
      <c r="T12" s="86">
        <v>5</v>
      </c>
      <c r="U12" s="95">
        <f t="shared" si="1"/>
        <v>4.9</v>
      </c>
      <c r="V12" s="8">
        <f t="shared" si="2"/>
        <v>5</v>
      </c>
    </row>
    <row r="13" spans="1:22" ht="12.75">
      <c r="A13" s="3">
        <f t="shared" si="0"/>
        <v>7.125</v>
      </c>
      <c r="B13" s="137">
        <v>11</v>
      </c>
      <c r="C13" s="151" t="s">
        <v>222</v>
      </c>
      <c r="D13" s="146">
        <v>11</v>
      </c>
      <c r="E13" s="110"/>
      <c r="F13" s="84">
        <v>9</v>
      </c>
      <c r="G13" s="109"/>
      <c r="H13" s="84">
        <v>6</v>
      </c>
      <c r="I13" s="109"/>
      <c r="J13" s="113">
        <v>5</v>
      </c>
      <c r="K13" s="12"/>
      <c r="L13" s="99">
        <v>9</v>
      </c>
      <c r="M13" s="121"/>
      <c r="N13" s="86">
        <v>9</v>
      </c>
      <c r="O13" s="111"/>
      <c r="P13" s="86">
        <v>5</v>
      </c>
      <c r="Q13" s="139">
        <v>6</v>
      </c>
      <c r="R13" s="87"/>
      <c r="S13" s="111"/>
      <c r="T13" s="86">
        <v>8</v>
      </c>
      <c r="U13" s="95">
        <f t="shared" si="1"/>
        <v>7.125</v>
      </c>
      <c r="V13" s="8">
        <f t="shared" si="2"/>
        <v>7</v>
      </c>
    </row>
    <row r="14" spans="1:22" ht="12.75">
      <c r="A14" s="3">
        <f t="shared" si="0"/>
        <v>6.625</v>
      </c>
      <c r="B14" s="137">
        <v>12</v>
      </c>
      <c r="C14" s="151" t="s">
        <v>223</v>
      </c>
      <c r="D14" s="146">
        <v>12</v>
      </c>
      <c r="E14" s="12"/>
      <c r="F14" s="86">
        <v>5</v>
      </c>
      <c r="G14" s="121"/>
      <c r="H14" s="86">
        <v>7</v>
      </c>
      <c r="I14" s="121"/>
      <c r="J14" s="158">
        <v>5</v>
      </c>
      <c r="K14" s="12"/>
      <c r="L14" s="99">
        <v>9</v>
      </c>
      <c r="M14" s="121"/>
      <c r="N14" s="86">
        <v>9</v>
      </c>
      <c r="O14" s="111"/>
      <c r="P14" s="86">
        <v>6</v>
      </c>
      <c r="Q14" s="122">
        <v>5</v>
      </c>
      <c r="R14" s="87"/>
      <c r="S14" s="111"/>
      <c r="T14" s="86">
        <v>7</v>
      </c>
      <c r="U14" s="95">
        <f t="shared" si="1"/>
        <v>6.625</v>
      </c>
      <c r="V14" s="8">
        <f t="shared" si="2"/>
        <v>7</v>
      </c>
    </row>
    <row r="15" spans="1:22" ht="13.5" thickBot="1">
      <c r="A15" s="3">
        <f t="shared" si="0"/>
        <v>7.625</v>
      </c>
      <c r="B15" s="137">
        <v>13</v>
      </c>
      <c r="C15" s="138" t="s">
        <v>224</v>
      </c>
      <c r="D15" s="211" t="s">
        <v>271</v>
      </c>
      <c r="E15" s="12"/>
      <c r="F15" s="86">
        <v>8</v>
      </c>
      <c r="G15" s="121"/>
      <c r="H15" s="86">
        <v>6</v>
      </c>
      <c r="I15" s="121"/>
      <c r="J15" s="158">
        <v>8</v>
      </c>
      <c r="K15" s="12"/>
      <c r="L15" s="86">
        <v>9</v>
      </c>
      <c r="M15" s="121"/>
      <c r="N15" s="86">
        <v>9</v>
      </c>
      <c r="O15" s="111"/>
      <c r="P15" s="86">
        <v>8</v>
      </c>
      <c r="Q15" s="121">
        <v>5</v>
      </c>
      <c r="R15" s="87"/>
      <c r="S15" s="111"/>
      <c r="T15" s="86">
        <v>8</v>
      </c>
      <c r="U15" s="95">
        <f t="shared" si="1"/>
        <v>7.625</v>
      </c>
      <c r="V15" s="8">
        <f t="shared" si="2"/>
        <v>8</v>
      </c>
    </row>
    <row r="16" spans="2:22" s="5" customFormat="1" ht="13.5" thickBot="1">
      <c r="B16" s="75"/>
      <c r="C16" s="237" t="s">
        <v>0</v>
      </c>
      <c r="D16" s="238"/>
      <c r="E16" s="128"/>
      <c r="F16" s="90">
        <f>AVERAGE(F3:F14,F15:F15)</f>
        <v>7.6923076923076925</v>
      </c>
      <c r="G16" s="128"/>
      <c r="H16" s="90">
        <f>AVERAGE(H3:H14,H15:H15)</f>
        <v>6.6923076923076925</v>
      </c>
      <c r="I16" s="128"/>
      <c r="J16" s="114">
        <f>AVERAGE(J3:J14,J15:J15)</f>
        <v>5.615384615384615</v>
      </c>
      <c r="K16" s="34"/>
      <c r="L16" s="153">
        <f>AVERAGE(L3:L14,L15:L15)</f>
        <v>7.846153846153846</v>
      </c>
      <c r="M16" s="34"/>
      <c r="N16" s="34">
        <f>AVERAGE(N3:N15)</f>
        <v>7.846153846153846</v>
      </c>
      <c r="O16" s="34"/>
      <c r="P16" s="148">
        <f>AVERAGE(P3:P14,P15:P15)</f>
        <v>6.384615384615385</v>
      </c>
      <c r="Q16" s="134">
        <f>AVERAGE(Q3:Q14,Q15:Q15)</f>
        <v>6.615384615384615</v>
      </c>
      <c r="R16" s="123"/>
      <c r="S16" s="150"/>
      <c r="T16" s="124">
        <f>AVERAGE(T3:T14,T15:T15)</f>
        <v>7.615384615384615</v>
      </c>
      <c r="U16" s="80">
        <f>AVERAGE(U3:U14,U15:U15)</f>
        <v>6.810314685314685</v>
      </c>
      <c r="V16" s="11">
        <f>AVERAGE(V3:V14,V15:V15)</f>
        <v>7.153846153846154</v>
      </c>
    </row>
    <row r="17" spans="2:22" s="5" customFormat="1" ht="13.5" thickBot="1">
      <c r="B17" s="6"/>
      <c r="C17" s="7"/>
      <c r="D17" s="77"/>
      <c r="E17" s="242" t="s">
        <v>61</v>
      </c>
      <c r="F17" s="243"/>
      <c r="G17" s="236" t="s">
        <v>62</v>
      </c>
      <c r="H17" s="235"/>
      <c r="I17" s="236" t="s">
        <v>63</v>
      </c>
      <c r="J17" s="236"/>
      <c r="K17" s="253" t="s">
        <v>276</v>
      </c>
      <c r="L17" s="230"/>
      <c r="M17" s="249" t="s">
        <v>69</v>
      </c>
      <c r="N17" s="230"/>
      <c r="O17" s="236" t="s">
        <v>277</v>
      </c>
      <c r="P17" s="230"/>
      <c r="Q17" s="129" t="s">
        <v>66</v>
      </c>
      <c r="R17" s="247" t="s">
        <v>67</v>
      </c>
      <c r="S17" s="236"/>
      <c r="T17" s="230"/>
      <c r="U17" s="96"/>
      <c r="V17" s="9"/>
    </row>
    <row r="18" spans="2:22" ht="12.75">
      <c r="B18" s="227" t="s">
        <v>36</v>
      </c>
      <c r="C18" s="227"/>
      <c r="D18" s="227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35">
        <f>V18/B15</f>
        <v>1</v>
      </c>
      <c r="V18" s="8">
        <f>COUNTIF(V3:V15,"&gt;3")</f>
        <v>13</v>
      </c>
    </row>
    <row r="19" spans="2:22" ht="12.75">
      <c r="B19" s="244" t="s">
        <v>48</v>
      </c>
      <c r="C19" s="245"/>
      <c r="D19" s="24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35">
        <f>V19/B15</f>
        <v>0.7692307692307693</v>
      </c>
      <c r="V19" s="8">
        <f>COUNTIF(V3:V15,"&gt;6")</f>
        <v>10</v>
      </c>
    </row>
    <row r="21" spans="3:4" ht="12.75">
      <c r="C21" s="22" t="s">
        <v>78</v>
      </c>
      <c r="D21" t="s">
        <v>81</v>
      </c>
    </row>
  </sheetData>
  <sheetProtection/>
  <mergeCells count="12">
    <mergeCell ref="B18:D18"/>
    <mergeCell ref="B19:D19"/>
    <mergeCell ref="E18:T18"/>
    <mergeCell ref="M17:N17"/>
    <mergeCell ref="O17:P17"/>
    <mergeCell ref="R17:T17"/>
    <mergeCell ref="K17:L17"/>
    <mergeCell ref="C1:J1"/>
    <mergeCell ref="C16:D16"/>
    <mergeCell ref="E17:F17"/>
    <mergeCell ref="G17:H17"/>
    <mergeCell ref="I17:J17"/>
  </mergeCells>
  <conditionalFormatting sqref="V3:V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U3:U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9"/>
  <sheetViews>
    <sheetView zoomScalePageLayoutView="0" workbookViewId="0" topLeftCell="B1">
      <selection activeCell="Q3" sqref="Q3"/>
    </sheetView>
  </sheetViews>
  <sheetFormatPr defaultColWidth="9.00390625" defaultRowHeight="12.75"/>
  <cols>
    <col min="1" max="1" width="6.753906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6.75390625" style="0" customWidth="1"/>
    <col min="6" max="6" width="5.75390625" style="0" customWidth="1"/>
    <col min="7" max="7" width="5.25390625" style="0" customWidth="1"/>
    <col min="8" max="9" width="5.625" style="0" customWidth="1"/>
    <col min="10" max="10" width="5.375" style="0" customWidth="1"/>
    <col min="11" max="13" width="5.25390625" style="0" customWidth="1"/>
    <col min="14" max="14" width="5.75390625" style="0" customWidth="1"/>
    <col min="15" max="15" width="5.625" style="0" customWidth="1"/>
    <col min="16" max="16" width="9.875" style="3" customWidth="1"/>
    <col min="17" max="17" width="12.125" style="10" bestFit="1" customWidth="1"/>
  </cols>
  <sheetData>
    <row r="1" spans="4:38" ht="13.5" thickBot="1">
      <c r="D1" s="76" t="s">
        <v>137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62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64"/>
      <c r="AH1" s="65"/>
      <c r="AK1" s="14"/>
      <c r="AL1" s="15"/>
    </row>
    <row r="2" spans="2:34" ht="16.5" customHeight="1" thickBot="1">
      <c r="B2" s="66" t="s">
        <v>73</v>
      </c>
      <c r="C2" s="68" t="s">
        <v>26</v>
      </c>
      <c r="D2" s="107" t="s">
        <v>74</v>
      </c>
      <c r="E2" s="82">
        <v>42037</v>
      </c>
      <c r="F2" s="91">
        <v>42044</v>
      </c>
      <c r="G2" s="81">
        <v>42058</v>
      </c>
      <c r="H2" s="82">
        <v>42065</v>
      </c>
      <c r="I2" s="81">
        <v>42079</v>
      </c>
      <c r="J2" s="82">
        <v>42086</v>
      </c>
      <c r="K2" s="81">
        <v>42093</v>
      </c>
      <c r="L2" s="82">
        <v>42132</v>
      </c>
      <c r="M2" s="81">
        <v>42138</v>
      </c>
      <c r="N2" s="82">
        <v>42145</v>
      </c>
      <c r="O2" s="91"/>
      <c r="P2" s="69" t="s">
        <v>24</v>
      </c>
      <c r="Q2" s="70" t="s">
        <v>205</v>
      </c>
      <c r="R2" s="176" t="s">
        <v>207</v>
      </c>
      <c r="S2" s="176" t="s">
        <v>204</v>
      </c>
      <c r="AA2" s="33"/>
      <c r="AB2" s="33"/>
      <c r="AC2" s="33"/>
      <c r="AD2" s="33"/>
      <c r="AE2" s="33"/>
      <c r="AF2" s="33"/>
      <c r="AG2" s="33"/>
      <c r="AH2" s="33"/>
    </row>
    <row r="3" spans="1:22" ht="12.75">
      <c r="A3" s="3">
        <f aca="true" t="shared" si="0" ref="A3:A13">P3</f>
        <v>7</v>
      </c>
      <c r="B3" s="2">
        <v>1</v>
      </c>
      <c r="C3" s="2" t="s">
        <v>152</v>
      </c>
      <c r="D3" s="210">
        <v>6</v>
      </c>
      <c r="E3" s="167">
        <v>8</v>
      </c>
      <c r="F3" s="101">
        <v>7</v>
      </c>
      <c r="G3" s="87"/>
      <c r="H3" s="86">
        <v>9</v>
      </c>
      <c r="I3" s="87"/>
      <c r="J3" s="99">
        <v>5</v>
      </c>
      <c r="K3" s="85"/>
      <c r="L3" s="99">
        <v>8</v>
      </c>
      <c r="M3" s="85"/>
      <c r="N3" s="99">
        <v>5</v>
      </c>
      <c r="O3" s="213">
        <v>7</v>
      </c>
      <c r="P3" s="105">
        <f aca="true" t="shared" si="1" ref="P3:P13">AVERAGE(E3:O3)</f>
        <v>7</v>
      </c>
      <c r="Q3" s="8">
        <f aca="true" t="shared" si="2" ref="Q3:Q12">ROUND(P3,0)</f>
        <v>7</v>
      </c>
      <c r="R3" s="8">
        <v>9</v>
      </c>
      <c r="S3" s="8">
        <f>AVERAGE(Q3:R3)</f>
        <v>8</v>
      </c>
      <c r="T3" s="1" t="s">
        <v>30</v>
      </c>
      <c r="U3" s="1">
        <f>COUNTIF(Q3:Q13,"&gt;8")</f>
        <v>3</v>
      </c>
      <c r="V3" s="47">
        <f>U3/$B$13</f>
        <v>0.2727272727272727</v>
      </c>
    </row>
    <row r="4" spans="1:22" ht="12.75">
      <c r="A4" s="3">
        <f t="shared" si="0"/>
        <v>5.25</v>
      </c>
      <c r="B4" s="2">
        <v>2</v>
      </c>
      <c r="C4" s="2" t="s">
        <v>153</v>
      </c>
      <c r="D4" s="146">
        <v>11</v>
      </c>
      <c r="E4" s="101">
        <v>9</v>
      </c>
      <c r="F4" s="101">
        <v>7</v>
      </c>
      <c r="G4" s="85">
        <v>1</v>
      </c>
      <c r="H4" s="99">
        <v>5</v>
      </c>
      <c r="I4" s="87"/>
      <c r="J4" s="99">
        <v>6</v>
      </c>
      <c r="K4" s="85"/>
      <c r="L4" s="99">
        <v>5</v>
      </c>
      <c r="M4" s="85"/>
      <c r="N4" s="99">
        <v>4</v>
      </c>
      <c r="O4" s="213">
        <v>5</v>
      </c>
      <c r="P4" s="105">
        <f t="shared" si="1"/>
        <v>5.25</v>
      </c>
      <c r="Q4" s="8">
        <f t="shared" si="2"/>
        <v>5</v>
      </c>
      <c r="R4" s="8">
        <v>9</v>
      </c>
      <c r="S4" s="8">
        <f aca="true" t="shared" si="3" ref="S4:S11">AVERAGE(Q4:R4)</f>
        <v>7</v>
      </c>
      <c r="T4" s="1" t="s">
        <v>31</v>
      </c>
      <c r="U4" s="48">
        <f>COUNTIF(Q3:Q13,7)+COUNTIF(Q3:Q13,8)</f>
        <v>5</v>
      </c>
      <c r="V4" s="47">
        <f>U4/$B$13</f>
        <v>0.45454545454545453</v>
      </c>
    </row>
    <row r="5" spans="1:22" ht="12.75">
      <c r="A5" s="3">
        <f t="shared" si="0"/>
        <v>8.714285714285714</v>
      </c>
      <c r="B5" s="2">
        <v>3</v>
      </c>
      <c r="C5" s="2" t="s">
        <v>154</v>
      </c>
      <c r="D5" s="146">
        <v>4</v>
      </c>
      <c r="E5" s="92">
        <v>9</v>
      </c>
      <c r="F5" s="101">
        <v>10</v>
      </c>
      <c r="G5" s="87"/>
      <c r="H5" s="86">
        <v>9</v>
      </c>
      <c r="I5" s="87"/>
      <c r="J5" s="99">
        <v>8</v>
      </c>
      <c r="K5" s="85"/>
      <c r="L5" s="99">
        <v>7</v>
      </c>
      <c r="M5" s="85"/>
      <c r="N5" s="99">
        <v>9</v>
      </c>
      <c r="O5" s="213">
        <v>9</v>
      </c>
      <c r="P5" s="105">
        <f t="shared" si="1"/>
        <v>8.714285714285714</v>
      </c>
      <c r="Q5" s="8">
        <f t="shared" si="2"/>
        <v>9</v>
      </c>
      <c r="R5" s="8">
        <v>10</v>
      </c>
      <c r="S5" s="8">
        <v>10</v>
      </c>
      <c r="T5" s="1" t="s">
        <v>32</v>
      </c>
      <c r="U5" s="48">
        <f>COUNTIF(Q3:Q13,4)+COUNTIF(Q3:Q13,5)+COUNTIF(Q3:Q13,6)</f>
        <v>3</v>
      </c>
      <c r="V5" s="47">
        <f>U5/$B$13</f>
        <v>0.2727272727272727</v>
      </c>
    </row>
    <row r="6" spans="1:22" ht="12.75">
      <c r="A6" s="3">
        <f t="shared" si="0"/>
        <v>8</v>
      </c>
      <c r="B6" s="2">
        <v>4</v>
      </c>
      <c r="C6" s="2" t="s">
        <v>155</v>
      </c>
      <c r="D6" s="146">
        <v>8</v>
      </c>
      <c r="E6" s="92">
        <v>8</v>
      </c>
      <c r="F6" s="101">
        <v>9</v>
      </c>
      <c r="G6" s="87"/>
      <c r="H6" s="86">
        <v>9</v>
      </c>
      <c r="I6" s="87"/>
      <c r="J6" s="99">
        <v>7</v>
      </c>
      <c r="K6" s="85"/>
      <c r="L6" s="99">
        <v>8</v>
      </c>
      <c r="M6" s="85"/>
      <c r="N6" s="99">
        <v>7</v>
      </c>
      <c r="O6" s="213">
        <v>8</v>
      </c>
      <c r="P6" s="105">
        <f t="shared" si="1"/>
        <v>8</v>
      </c>
      <c r="Q6" s="8">
        <f t="shared" si="2"/>
        <v>8</v>
      </c>
      <c r="R6" s="8">
        <v>9</v>
      </c>
      <c r="S6" s="8">
        <f t="shared" si="3"/>
        <v>8.5</v>
      </c>
      <c r="T6" s="1" t="s">
        <v>33</v>
      </c>
      <c r="U6" s="1">
        <f>COUNTIF(Q3:Q13,"&lt;4")</f>
        <v>0</v>
      </c>
      <c r="V6" s="47">
        <f>U6/$B$13</f>
        <v>0</v>
      </c>
    </row>
    <row r="7" spans="1:22" ht="12.75">
      <c r="A7" s="3">
        <f t="shared" si="0"/>
        <v>7.714285714285714</v>
      </c>
      <c r="B7" s="2">
        <v>5</v>
      </c>
      <c r="C7" s="2" t="s">
        <v>156</v>
      </c>
      <c r="D7" s="146">
        <v>3</v>
      </c>
      <c r="E7" s="101">
        <v>8</v>
      </c>
      <c r="F7" s="101">
        <v>10</v>
      </c>
      <c r="G7" s="87"/>
      <c r="H7" s="86">
        <v>10</v>
      </c>
      <c r="I7" s="87"/>
      <c r="J7" s="99">
        <v>7</v>
      </c>
      <c r="K7" s="85"/>
      <c r="L7" s="99">
        <v>7</v>
      </c>
      <c r="M7" s="85"/>
      <c r="N7" s="99">
        <v>5</v>
      </c>
      <c r="O7" s="213">
        <v>7</v>
      </c>
      <c r="P7" s="105">
        <f t="shared" si="1"/>
        <v>7.714285714285714</v>
      </c>
      <c r="Q7" s="8">
        <f t="shared" si="2"/>
        <v>8</v>
      </c>
      <c r="R7" s="8">
        <v>9</v>
      </c>
      <c r="S7" s="8">
        <v>9</v>
      </c>
      <c r="T7" s="49" t="s">
        <v>34</v>
      </c>
      <c r="U7" s="1">
        <f>B13-SUM(U3:U6)</f>
        <v>0</v>
      </c>
      <c r="V7" s="47">
        <f>U7/$B$13</f>
        <v>0</v>
      </c>
    </row>
    <row r="8" spans="1:19" ht="12.75">
      <c r="A8" s="3">
        <f t="shared" si="0"/>
        <v>7.857142857142857</v>
      </c>
      <c r="B8" s="2">
        <v>6</v>
      </c>
      <c r="C8" s="2" t="s">
        <v>157</v>
      </c>
      <c r="D8" s="146" t="s">
        <v>266</v>
      </c>
      <c r="E8" s="92">
        <v>9</v>
      </c>
      <c r="F8" s="101">
        <v>8</v>
      </c>
      <c r="G8" s="87"/>
      <c r="H8" s="86">
        <v>8</v>
      </c>
      <c r="I8" s="87" t="s">
        <v>206</v>
      </c>
      <c r="J8" s="99">
        <v>7</v>
      </c>
      <c r="K8" s="85"/>
      <c r="L8" s="99">
        <v>8</v>
      </c>
      <c r="M8" s="85"/>
      <c r="N8" s="99">
        <v>7</v>
      </c>
      <c r="O8" s="213">
        <v>8</v>
      </c>
      <c r="P8" s="105">
        <f t="shared" si="1"/>
        <v>7.857142857142857</v>
      </c>
      <c r="Q8" s="8">
        <f t="shared" si="2"/>
        <v>8</v>
      </c>
      <c r="R8" s="8">
        <v>8</v>
      </c>
      <c r="S8" s="8">
        <f t="shared" si="3"/>
        <v>8</v>
      </c>
    </row>
    <row r="9" spans="1:19" ht="12.75">
      <c r="A9" s="3">
        <f t="shared" si="0"/>
        <v>6</v>
      </c>
      <c r="B9" s="2">
        <v>7</v>
      </c>
      <c r="C9" s="2" t="s">
        <v>158</v>
      </c>
      <c r="D9" s="146" t="s">
        <v>242</v>
      </c>
      <c r="E9" s="92">
        <v>9</v>
      </c>
      <c r="F9" s="101">
        <v>7</v>
      </c>
      <c r="G9" s="87"/>
      <c r="H9" s="86">
        <v>6</v>
      </c>
      <c r="I9" s="87"/>
      <c r="J9" s="99">
        <v>6</v>
      </c>
      <c r="K9" s="85"/>
      <c r="L9" s="99">
        <v>5</v>
      </c>
      <c r="M9" s="85"/>
      <c r="N9" s="99">
        <v>4</v>
      </c>
      <c r="O9" s="213">
        <v>5</v>
      </c>
      <c r="P9" s="105">
        <f t="shared" si="1"/>
        <v>6</v>
      </c>
      <c r="Q9" s="8">
        <f t="shared" si="2"/>
        <v>6</v>
      </c>
      <c r="R9" s="8">
        <v>9</v>
      </c>
      <c r="S9" s="8">
        <v>8</v>
      </c>
    </row>
    <row r="10" spans="1:19" ht="12.75">
      <c r="A10" s="3">
        <f t="shared" si="0"/>
        <v>7.857142857142857</v>
      </c>
      <c r="B10" s="2">
        <v>8</v>
      </c>
      <c r="C10" s="2" t="s">
        <v>159</v>
      </c>
      <c r="D10" s="146" t="s">
        <v>267</v>
      </c>
      <c r="E10" s="92">
        <v>8</v>
      </c>
      <c r="F10" s="101">
        <v>7</v>
      </c>
      <c r="G10" s="87"/>
      <c r="H10" s="86">
        <v>7</v>
      </c>
      <c r="I10" s="87"/>
      <c r="J10" s="99">
        <v>7</v>
      </c>
      <c r="K10" s="85"/>
      <c r="L10" s="99">
        <v>8</v>
      </c>
      <c r="M10" s="85"/>
      <c r="N10" s="99">
        <v>9</v>
      </c>
      <c r="O10" s="213">
        <v>9</v>
      </c>
      <c r="P10" s="105">
        <f t="shared" si="1"/>
        <v>7.857142857142857</v>
      </c>
      <c r="Q10" s="8">
        <f t="shared" si="2"/>
        <v>8</v>
      </c>
      <c r="R10" s="8">
        <v>8</v>
      </c>
      <c r="S10" s="8">
        <f t="shared" si="3"/>
        <v>8</v>
      </c>
    </row>
    <row r="11" spans="1:19" ht="12.75">
      <c r="A11" s="3">
        <f t="shared" si="0"/>
        <v>5.571428571428571</v>
      </c>
      <c r="B11" s="2">
        <v>9</v>
      </c>
      <c r="C11" s="37" t="s">
        <v>160</v>
      </c>
      <c r="D11" s="146">
        <v>12</v>
      </c>
      <c r="E11" s="174">
        <v>4</v>
      </c>
      <c r="F11" s="100">
        <v>6</v>
      </c>
      <c r="G11" s="88" t="s">
        <v>206</v>
      </c>
      <c r="H11" s="98">
        <v>4</v>
      </c>
      <c r="I11" s="88"/>
      <c r="J11" s="98">
        <v>6</v>
      </c>
      <c r="K11" s="83"/>
      <c r="L11" s="98">
        <v>6</v>
      </c>
      <c r="M11" s="83"/>
      <c r="N11" s="98">
        <v>6</v>
      </c>
      <c r="O11" s="213">
        <v>7</v>
      </c>
      <c r="P11" s="105">
        <f t="shared" si="1"/>
        <v>5.571428571428571</v>
      </c>
      <c r="Q11" s="8">
        <f t="shared" si="2"/>
        <v>6</v>
      </c>
      <c r="R11" s="8">
        <v>8</v>
      </c>
      <c r="S11" s="8">
        <f t="shared" si="3"/>
        <v>7</v>
      </c>
    </row>
    <row r="12" spans="1:19" ht="12.75">
      <c r="A12" s="3">
        <f t="shared" si="0"/>
        <v>8.571428571428571</v>
      </c>
      <c r="B12" s="2">
        <v>10</v>
      </c>
      <c r="C12" s="37" t="s">
        <v>161</v>
      </c>
      <c r="D12" s="146" t="s">
        <v>240</v>
      </c>
      <c r="E12" s="174">
        <v>10</v>
      </c>
      <c r="F12" s="100">
        <v>10</v>
      </c>
      <c r="G12" s="88"/>
      <c r="H12" s="84">
        <v>9</v>
      </c>
      <c r="I12" s="88"/>
      <c r="J12" s="98">
        <v>8</v>
      </c>
      <c r="K12" s="83"/>
      <c r="L12" s="98">
        <v>6</v>
      </c>
      <c r="M12" s="83"/>
      <c r="N12" s="98">
        <v>8</v>
      </c>
      <c r="O12" s="213">
        <v>9</v>
      </c>
      <c r="P12" s="105">
        <f t="shared" si="1"/>
        <v>8.571428571428571</v>
      </c>
      <c r="Q12" s="8">
        <f t="shared" si="2"/>
        <v>9</v>
      </c>
      <c r="R12" s="8">
        <v>10</v>
      </c>
      <c r="S12" s="8">
        <v>10</v>
      </c>
    </row>
    <row r="13" spans="1:19" ht="12.75">
      <c r="A13" s="3">
        <f t="shared" si="0"/>
        <v>9.428571428571429</v>
      </c>
      <c r="B13" s="2">
        <v>11</v>
      </c>
      <c r="C13" s="37" t="s">
        <v>162</v>
      </c>
      <c r="D13" s="146">
        <v>2</v>
      </c>
      <c r="E13" s="174">
        <v>9</v>
      </c>
      <c r="F13" s="100">
        <v>10</v>
      </c>
      <c r="G13" s="88"/>
      <c r="H13" s="84">
        <v>9</v>
      </c>
      <c r="I13" s="88"/>
      <c r="J13" s="98">
        <v>9</v>
      </c>
      <c r="K13" s="83"/>
      <c r="L13" s="98">
        <v>9</v>
      </c>
      <c r="M13" s="83"/>
      <c r="N13" s="98">
        <v>10</v>
      </c>
      <c r="O13" s="213">
        <v>10</v>
      </c>
      <c r="P13" s="105">
        <f t="shared" si="1"/>
        <v>9.428571428571429</v>
      </c>
      <c r="Q13" s="8">
        <v>10</v>
      </c>
      <c r="R13" s="8">
        <v>9</v>
      </c>
      <c r="S13" s="8">
        <v>10</v>
      </c>
    </row>
    <row r="14" spans="2:19" s="5" customFormat="1" ht="12.75">
      <c r="B14" s="2"/>
      <c r="C14" s="232" t="s">
        <v>0</v>
      </c>
      <c r="D14" s="233"/>
      <c r="E14" s="93">
        <f>AVERAGE(E3:E13)</f>
        <v>8.272727272727273</v>
      </c>
      <c r="F14" s="93">
        <f>AVERAGE(F3:F13)</f>
        <v>8.272727272727273</v>
      </c>
      <c r="G14" s="89"/>
      <c r="H14" s="90">
        <f>AVERAGE(H3:H13)</f>
        <v>7.7272727272727275</v>
      </c>
      <c r="I14" s="89"/>
      <c r="J14" s="90">
        <f>AVERAGE(J3:J13)</f>
        <v>6.909090909090909</v>
      </c>
      <c r="K14" s="89"/>
      <c r="L14" s="90">
        <f>AVERAGE(L3:L13)</f>
        <v>7</v>
      </c>
      <c r="M14" s="89"/>
      <c r="N14" s="90">
        <f aca="true" t="shared" si="4" ref="N14:S14">AVERAGE(N3:N13)</f>
        <v>6.7272727272727275</v>
      </c>
      <c r="O14" s="93">
        <f t="shared" si="4"/>
        <v>7.636363636363637</v>
      </c>
      <c r="P14" s="102">
        <f t="shared" si="4"/>
        <v>7.4512987012987</v>
      </c>
      <c r="Q14" s="34">
        <f t="shared" si="4"/>
        <v>7.636363636363637</v>
      </c>
      <c r="R14" s="34">
        <f t="shared" si="4"/>
        <v>8.909090909090908</v>
      </c>
      <c r="S14" s="34">
        <f t="shared" si="4"/>
        <v>8.5</v>
      </c>
    </row>
    <row r="15" spans="2:17" s="5" customFormat="1" ht="13.5" thickBot="1">
      <c r="B15" s="2"/>
      <c r="C15" s="6"/>
      <c r="D15" s="77"/>
      <c r="E15" s="94" t="s">
        <v>70</v>
      </c>
      <c r="F15" s="94" t="s">
        <v>66</v>
      </c>
      <c r="G15" s="234" t="s">
        <v>194</v>
      </c>
      <c r="H15" s="235"/>
      <c r="I15" s="234" t="s">
        <v>195</v>
      </c>
      <c r="J15" s="235"/>
      <c r="K15" s="234" t="s">
        <v>196</v>
      </c>
      <c r="L15" s="235"/>
      <c r="M15" s="234" t="s">
        <v>197</v>
      </c>
      <c r="N15" s="235"/>
      <c r="O15" s="94" t="s">
        <v>198</v>
      </c>
      <c r="P15" s="96"/>
      <c r="Q15" s="9"/>
    </row>
    <row r="16" spans="2:17" ht="13.5" thickBot="1">
      <c r="B16" s="2"/>
      <c r="C16" s="4" t="s">
        <v>36</v>
      </c>
      <c r="D16" s="78" t="s">
        <v>35</v>
      </c>
      <c r="E16" s="242" t="s">
        <v>76</v>
      </c>
      <c r="F16" s="243"/>
      <c r="G16" s="242" t="s">
        <v>49</v>
      </c>
      <c r="H16" s="228"/>
      <c r="I16" s="228"/>
      <c r="J16" s="228"/>
      <c r="K16" s="228"/>
      <c r="L16" s="228"/>
      <c r="M16" s="228"/>
      <c r="N16" s="228"/>
      <c r="O16" s="243"/>
      <c r="P16" s="74">
        <f>Q16/$B$13</f>
        <v>1</v>
      </c>
      <c r="Q16" s="8">
        <f>COUNTIF(Q3:Q13,"&gt;3")</f>
        <v>11</v>
      </c>
    </row>
    <row r="17" spans="2:17" ht="12.75">
      <c r="B17" s="2"/>
      <c r="C17" s="4" t="s">
        <v>37</v>
      </c>
      <c r="D17" s="4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>
        <f>Q17/$B$13</f>
        <v>0.7272727272727273</v>
      </c>
      <c r="Q17" s="8">
        <f>COUNTIF(Q3:Q13,"&gt;6")</f>
        <v>8</v>
      </c>
    </row>
    <row r="19" ht="12.75">
      <c r="C19" t="s">
        <v>82</v>
      </c>
    </row>
  </sheetData>
  <sheetProtection/>
  <mergeCells count="7">
    <mergeCell ref="C14:D14"/>
    <mergeCell ref="G15:H15"/>
    <mergeCell ref="I15:J15"/>
    <mergeCell ref="E16:F16"/>
    <mergeCell ref="G16:O16"/>
    <mergeCell ref="K15:L15"/>
    <mergeCell ref="M15:N15"/>
  </mergeCells>
  <conditionalFormatting sqref="S3:S14 Q3:R13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P3:P13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18"/>
  <sheetViews>
    <sheetView workbookViewId="0" topLeftCell="B19">
      <selection activeCell="S9" sqref="S9"/>
    </sheetView>
  </sheetViews>
  <sheetFormatPr defaultColWidth="9.00390625" defaultRowHeight="12.75"/>
  <cols>
    <col min="1" max="1" width="4.37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7" width="4.75390625" style="0" customWidth="1"/>
    <col min="8" max="8" width="6.00390625" style="0" customWidth="1"/>
    <col min="9" max="10" width="4.75390625" style="0" customWidth="1"/>
    <col min="11" max="11" width="5.625" style="0" customWidth="1"/>
    <col min="12" max="12" width="5.25390625" style="0" customWidth="1"/>
    <col min="13" max="13" width="5.625" style="0" customWidth="1"/>
    <col min="14" max="14" width="5.375" style="0" customWidth="1"/>
    <col min="15" max="16" width="5.25390625" style="0" customWidth="1"/>
    <col min="17" max="17" width="5.875" style="0" customWidth="1"/>
    <col min="18" max="18" width="9.875" style="3" customWidth="1"/>
    <col min="19" max="19" width="12.125" style="10" bestFit="1" customWidth="1"/>
  </cols>
  <sheetData>
    <row r="1" spans="4:40" ht="13.5" thickBot="1">
      <c r="D1" s="76" t="s">
        <v>138</v>
      </c>
      <c r="E1" s="175"/>
      <c r="F1" s="175"/>
      <c r="G1" s="175"/>
      <c r="H1" s="175"/>
      <c r="I1" s="175"/>
      <c r="J1" s="175"/>
      <c r="K1" s="76"/>
      <c r="L1" s="76"/>
      <c r="M1" s="76"/>
      <c r="N1" s="76"/>
      <c r="O1" s="76"/>
      <c r="P1" s="76"/>
      <c r="Q1" s="76"/>
      <c r="R1" s="62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64"/>
      <c r="AJ1" s="65"/>
      <c r="AM1" s="14"/>
      <c r="AN1" s="15"/>
    </row>
    <row r="2" spans="2:36" ht="16.5" customHeight="1" thickBot="1">
      <c r="B2" s="66" t="s">
        <v>73</v>
      </c>
      <c r="C2" s="68" t="s">
        <v>26</v>
      </c>
      <c r="D2" s="107" t="s">
        <v>74</v>
      </c>
      <c r="E2" s="81">
        <v>42038</v>
      </c>
      <c r="F2" s="156">
        <v>42045</v>
      </c>
      <c r="G2" s="82">
        <v>42052</v>
      </c>
      <c r="H2" s="130">
        <v>42059</v>
      </c>
      <c r="I2" s="81">
        <v>42073</v>
      </c>
      <c r="J2" s="82">
        <v>42087</v>
      </c>
      <c r="K2" s="118">
        <v>42131</v>
      </c>
      <c r="L2" s="82">
        <v>42137</v>
      </c>
      <c r="M2" s="81">
        <v>42138</v>
      </c>
      <c r="N2" s="82">
        <v>42143</v>
      </c>
      <c r="O2" s="81">
        <v>42150</v>
      </c>
      <c r="P2" s="127">
        <v>42157</v>
      </c>
      <c r="Q2" s="91">
        <v>42163</v>
      </c>
      <c r="R2" s="69" t="s">
        <v>24</v>
      </c>
      <c r="S2" s="70" t="s">
        <v>205</v>
      </c>
      <c r="T2" s="176" t="s">
        <v>207</v>
      </c>
      <c r="U2" s="176" t="s">
        <v>204</v>
      </c>
      <c r="AC2" s="33"/>
      <c r="AD2" s="33"/>
      <c r="AE2" s="33"/>
      <c r="AF2" s="33"/>
      <c r="AG2" s="33"/>
      <c r="AH2" s="33"/>
      <c r="AI2" s="33"/>
      <c r="AJ2" s="33"/>
    </row>
    <row r="3" spans="1:25" ht="12.75">
      <c r="A3" s="3">
        <f aca="true" t="shared" si="0" ref="A3:A12">R3</f>
        <v>6.714285714285714</v>
      </c>
      <c r="B3" s="2">
        <v>1</v>
      </c>
      <c r="C3" s="2" t="s">
        <v>165</v>
      </c>
      <c r="D3" s="210" t="s">
        <v>269</v>
      </c>
      <c r="E3" s="144"/>
      <c r="F3" s="204"/>
      <c r="G3" s="143">
        <v>7</v>
      </c>
      <c r="H3" s="109">
        <v>9</v>
      </c>
      <c r="I3" s="144"/>
      <c r="J3" s="143">
        <v>6</v>
      </c>
      <c r="K3" s="121"/>
      <c r="L3" s="86">
        <v>6</v>
      </c>
      <c r="M3" s="87"/>
      <c r="N3" s="99">
        <v>5</v>
      </c>
      <c r="O3" s="141"/>
      <c r="P3" s="172">
        <v>7</v>
      </c>
      <c r="Q3" s="216">
        <v>7</v>
      </c>
      <c r="R3" s="105">
        <f aca="true" t="shared" si="1" ref="R3:R12">AVERAGE(E3:Q3)</f>
        <v>6.714285714285714</v>
      </c>
      <c r="S3" s="8">
        <f aca="true" t="shared" si="2" ref="S3:S12">ROUND(R3,0)</f>
        <v>7</v>
      </c>
      <c r="T3" s="8">
        <v>8</v>
      </c>
      <c r="U3" s="8">
        <f>AVERAGE(S3:T3)</f>
        <v>7.5</v>
      </c>
      <c r="W3" s="1" t="s">
        <v>30</v>
      </c>
      <c r="X3" s="1">
        <f>COUNTIF(S3:S12,"&gt;8")</f>
        <v>2</v>
      </c>
      <c r="Y3" s="47">
        <f>X3/$B$12</f>
        <v>0.2</v>
      </c>
    </row>
    <row r="4" spans="1:25" ht="12.75">
      <c r="A4" s="3">
        <f t="shared" si="0"/>
        <v>4.571428571428571</v>
      </c>
      <c r="B4" s="2">
        <v>2</v>
      </c>
      <c r="C4" s="2" t="s">
        <v>166</v>
      </c>
      <c r="D4" s="146">
        <v>11</v>
      </c>
      <c r="E4" s="87"/>
      <c r="F4" s="12"/>
      <c r="G4" s="86">
        <v>4</v>
      </c>
      <c r="H4" s="112">
        <v>4</v>
      </c>
      <c r="I4" s="87"/>
      <c r="J4" s="99">
        <v>5</v>
      </c>
      <c r="K4" s="121"/>
      <c r="L4" s="99">
        <v>6</v>
      </c>
      <c r="M4" s="87"/>
      <c r="N4" s="99">
        <v>4</v>
      </c>
      <c r="O4" s="85"/>
      <c r="P4" s="133">
        <v>4</v>
      </c>
      <c r="Q4" s="216">
        <v>5</v>
      </c>
      <c r="R4" s="105">
        <f t="shared" si="1"/>
        <v>4.571428571428571</v>
      </c>
      <c r="S4" s="8">
        <f t="shared" si="2"/>
        <v>5</v>
      </c>
      <c r="T4" s="8">
        <v>4</v>
      </c>
      <c r="U4" s="8">
        <f aca="true" t="shared" si="3" ref="U4:U12">AVERAGE(S4:T4)</f>
        <v>4.5</v>
      </c>
      <c r="W4" s="1" t="s">
        <v>31</v>
      </c>
      <c r="X4" s="48">
        <f>COUNTIF(S3:S12,7)+COUNTIF(S3:S12,8)</f>
        <v>2</v>
      </c>
      <c r="Y4" s="47">
        <f>X4/$B$12</f>
        <v>0.2</v>
      </c>
    </row>
    <row r="5" spans="1:25" ht="12.75">
      <c r="A5" s="3">
        <f t="shared" si="0"/>
        <v>5.857142857142857</v>
      </c>
      <c r="B5" s="2">
        <v>3</v>
      </c>
      <c r="C5" s="2" t="s">
        <v>167</v>
      </c>
      <c r="D5" s="146" t="s">
        <v>275</v>
      </c>
      <c r="E5" s="87"/>
      <c r="F5" s="12" t="s">
        <v>206</v>
      </c>
      <c r="G5" s="86">
        <v>8</v>
      </c>
      <c r="H5" s="111">
        <v>9</v>
      </c>
      <c r="I5" s="87"/>
      <c r="J5" s="99">
        <v>5</v>
      </c>
      <c r="K5" s="122"/>
      <c r="L5" s="86">
        <v>6</v>
      </c>
      <c r="M5" s="87"/>
      <c r="N5" s="99">
        <v>4</v>
      </c>
      <c r="O5" s="85"/>
      <c r="P5" s="133">
        <v>4</v>
      </c>
      <c r="Q5" s="216">
        <v>5</v>
      </c>
      <c r="R5" s="105">
        <f t="shared" si="1"/>
        <v>5.857142857142857</v>
      </c>
      <c r="S5" s="8">
        <f t="shared" si="2"/>
        <v>6</v>
      </c>
      <c r="T5" s="8">
        <v>6</v>
      </c>
      <c r="U5" s="8">
        <f t="shared" si="3"/>
        <v>6</v>
      </c>
      <c r="W5" s="1" t="s">
        <v>32</v>
      </c>
      <c r="X5" s="48">
        <f>COUNTIF(S3:S12,4)+COUNTIF(S3:S12,5)+COUNTIF(S3:S12,6)</f>
        <v>4</v>
      </c>
      <c r="Y5" s="47">
        <f>X5/$B$12</f>
        <v>0.4</v>
      </c>
    </row>
    <row r="6" spans="1:25" ht="12.75">
      <c r="A6" s="3">
        <f t="shared" si="0"/>
        <v>1.5</v>
      </c>
      <c r="B6" s="2">
        <v>4</v>
      </c>
      <c r="C6" s="2" t="s">
        <v>168</v>
      </c>
      <c r="D6" s="146" t="s">
        <v>241</v>
      </c>
      <c r="E6" s="87"/>
      <c r="F6" s="12"/>
      <c r="G6" s="86">
        <v>4</v>
      </c>
      <c r="H6" s="209">
        <v>1</v>
      </c>
      <c r="I6" s="87"/>
      <c r="J6" s="147">
        <v>1</v>
      </c>
      <c r="K6" s="121"/>
      <c r="L6" s="147">
        <v>1</v>
      </c>
      <c r="M6" s="87"/>
      <c r="N6" s="147">
        <v>1</v>
      </c>
      <c r="O6" s="85"/>
      <c r="P6" s="217">
        <v>1</v>
      </c>
      <c r="Q6" s="218" t="s">
        <v>206</v>
      </c>
      <c r="R6" s="105">
        <f t="shared" si="1"/>
        <v>1.5</v>
      </c>
      <c r="S6" s="8">
        <v>0</v>
      </c>
      <c r="T6" s="8">
        <v>4</v>
      </c>
      <c r="U6" s="8">
        <f t="shared" si="3"/>
        <v>2</v>
      </c>
      <c r="W6" s="1" t="s">
        <v>33</v>
      </c>
      <c r="X6" s="1">
        <f>COUNTIF(S3:S12,"&lt;4")</f>
        <v>2</v>
      </c>
      <c r="Y6" s="47">
        <f>X6/$B$12</f>
        <v>0.2</v>
      </c>
    </row>
    <row r="7" spans="1:25" ht="12.75">
      <c r="A7" s="3">
        <f t="shared" si="0"/>
        <v>3.875</v>
      </c>
      <c r="B7" s="2">
        <v>5</v>
      </c>
      <c r="C7" s="151" t="s">
        <v>169</v>
      </c>
      <c r="D7" s="146" t="s">
        <v>270</v>
      </c>
      <c r="E7" s="87"/>
      <c r="F7" s="12"/>
      <c r="G7" s="86">
        <v>4</v>
      </c>
      <c r="H7" s="111">
        <v>4</v>
      </c>
      <c r="I7" s="87">
        <v>1</v>
      </c>
      <c r="J7" s="99">
        <v>4</v>
      </c>
      <c r="K7" s="121"/>
      <c r="L7" s="86">
        <v>4</v>
      </c>
      <c r="M7" s="87"/>
      <c r="N7" s="99">
        <v>4</v>
      </c>
      <c r="O7" s="85"/>
      <c r="P7" s="133">
        <v>5</v>
      </c>
      <c r="Q7" s="216">
        <v>5</v>
      </c>
      <c r="R7" s="105">
        <f t="shared" si="1"/>
        <v>3.875</v>
      </c>
      <c r="S7" s="8">
        <f t="shared" si="2"/>
        <v>4</v>
      </c>
      <c r="T7" s="8">
        <v>8</v>
      </c>
      <c r="U7" s="8">
        <f t="shared" si="3"/>
        <v>6</v>
      </c>
      <c r="W7" s="49" t="s">
        <v>34</v>
      </c>
      <c r="X7" s="1">
        <f>B12-SUM(X3:X6)</f>
        <v>0</v>
      </c>
      <c r="Y7" s="47">
        <f>X7/$B$12</f>
        <v>0</v>
      </c>
    </row>
    <row r="8" spans="1:21" ht="12.75">
      <c r="A8" s="3">
        <f t="shared" si="0"/>
        <v>2.8</v>
      </c>
      <c r="B8" s="2">
        <v>6</v>
      </c>
      <c r="C8" s="2" t="s">
        <v>170</v>
      </c>
      <c r="D8" s="146" t="s">
        <v>240</v>
      </c>
      <c r="E8" s="87"/>
      <c r="F8" s="12"/>
      <c r="G8" s="86">
        <v>4</v>
      </c>
      <c r="H8" s="111">
        <v>4</v>
      </c>
      <c r="I8" s="87"/>
      <c r="J8" s="99">
        <v>4</v>
      </c>
      <c r="K8" s="121"/>
      <c r="L8" s="147">
        <v>1</v>
      </c>
      <c r="M8" s="87"/>
      <c r="N8" s="147">
        <v>1</v>
      </c>
      <c r="O8" s="85"/>
      <c r="P8" s="217" t="s">
        <v>206</v>
      </c>
      <c r="Q8" s="218" t="s">
        <v>206</v>
      </c>
      <c r="R8" s="105">
        <f t="shared" si="1"/>
        <v>2.8</v>
      </c>
      <c r="S8" s="8">
        <v>0</v>
      </c>
      <c r="T8" s="8">
        <v>6</v>
      </c>
      <c r="U8" s="8">
        <f t="shared" si="3"/>
        <v>3</v>
      </c>
    </row>
    <row r="9" spans="1:21" ht="12.75">
      <c r="A9" s="3">
        <f t="shared" si="0"/>
        <v>8.714285714285714</v>
      </c>
      <c r="B9" s="2">
        <v>7</v>
      </c>
      <c r="C9" s="2" t="s">
        <v>171</v>
      </c>
      <c r="D9" s="146" t="s">
        <v>274</v>
      </c>
      <c r="E9" s="87"/>
      <c r="F9" s="12"/>
      <c r="G9" s="86">
        <v>9</v>
      </c>
      <c r="H9" s="111">
        <v>10</v>
      </c>
      <c r="I9" s="87" t="s">
        <v>206</v>
      </c>
      <c r="J9" s="86">
        <v>8</v>
      </c>
      <c r="K9" s="121"/>
      <c r="L9" s="86">
        <v>9</v>
      </c>
      <c r="M9" s="87"/>
      <c r="N9" s="99">
        <v>7</v>
      </c>
      <c r="O9" s="85"/>
      <c r="P9" s="133">
        <v>9</v>
      </c>
      <c r="Q9" s="216">
        <v>9</v>
      </c>
      <c r="R9" s="105">
        <f t="shared" si="1"/>
        <v>8.714285714285714</v>
      </c>
      <c r="S9" s="8">
        <f t="shared" si="2"/>
        <v>9</v>
      </c>
      <c r="T9" s="8">
        <v>8</v>
      </c>
      <c r="U9" s="8">
        <f t="shared" si="3"/>
        <v>8.5</v>
      </c>
    </row>
    <row r="10" spans="1:21" ht="12.75">
      <c r="A10" s="3">
        <f t="shared" si="0"/>
        <v>3.5555555555555554</v>
      </c>
      <c r="B10" s="2">
        <v>8</v>
      </c>
      <c r="C10" s="2" t="s">
        <v>172</v>
      </c>
      <c r="D10" s="146">
        <v>12</v>
      </c>
      <c r="E10" s="87" t="s">
        <v>206</v>
      </c>
      <c r="F10" s="12"/>
      <c r="G10" s="86">
        <v>4</v>
      </c>
      <c r="H10" s="112">
        <v>4</v>
      </c>
      <c r="I10" s="87">
        <v>2</v>
      </c>
      <c r="J10" s="86">
        <v>4</v>
      </c>
      <c r="K10" s="121">
        <v>1</v>
      </c>
      <c r="L10" s="99">
        <v>4</v>
      </c>
      <c r="M10" s="87"/>
      <c r="N10" s="99">
        <v>5</v>
      </c>
      <c r="O10" s="85"/>
      <c r="P10" s="133">
        <v>4</v>
      </c>
      <c r="Q10" s="216">
        <v>4</v>
      </c>
      <c r="R10" s="105">
        <f t="shared" si="1"/>
        <v>3.5555555555555554</v>
      </c>
      <c r="S10" s="8">
        <f t="shared" si="2"/>
        <v>4</v>
      </c>
      <c r="T10" s="8">
        <v>4</v>
      </c>
      <c r="U10" s="8">
        <f t="shared" si="3"/>
        <v>4</v>
      </c>
    </row>
    <row r="11" spans="1:21" ht="12.75">
      <c r="A11" s="3">
        <f t="shared" si="0"/>
        <v>8.571428571428571</v>
      </c>
      <c r="B11" s="2">
        <v>9</v>
      </c>
      <c r="C11" s="2" t="s">
        <v>173</v>
      </c>
      <c r="D11" s="146">
        <v>2</v>
      </c>
      <c r="E11" s="87"/>
      <c r="F11" s="12"/>
      <c r="G11" s="86">
        <v>10</v>
      </c>
      <c r="H11" s="111">
        <v>7</v>
      </c>
      <c r="I11" s="87"/>
      <c r="J11" s="86">
        <v>9</v>
      </c>
      <c r="K11" s="121"/>
      <c r="L11" s="86">
        <v>9</v>
      </c>
      <c r="M11" s="87"/>
      <c r="N11" s="99">
        <v>8</v>
      </c>
      <c r="O11" s="85"/>
      <c r="P11" s="133">
        <v>8</v>
      </c>
      <c r="Q11" s="216">
        <v>9</v>
      </c>
      <c r="R11" s="105">
        <f t="shared" si="1"/>
        <v>8.571428571428571</v>
      </c>
      <c r="S11" s="8">
        <f t="shared" si="2"/>
        <v>9</v>
      </c>
      <c r="T11" s="8">
        <v>8</v>
      </c>
      <c r="U11" s="8">
        <f t="shared" si="3"/>
        <v>8.5</v>
      </c>
    </row>
    <row r="12" spans="1:21" ht="12.75">
      <c r="A12" s="3">
        <f t="shared" si="0"/>
        <v>6.857142857142857</v>
      </c>
      <c r="B12" s="2">
        <v>10</v>
      </c>
      <c r="C12" s="37" t="s">
        <v>174</v>
      </c>
      <c r="D12" s="146" t="s">
        <v>272</v>
      </c>
      <c r="E12" s="88"/>
      <c r="F12" s="12"/>
      <c r="G12" s="86">
        <v>7</v>
      </c>
      <c r="H12" s="111">
        <v>9</v>
      </c>
      <c r="I12" s="87"/>
      <c r="J12" s="99">
        <v>7</v>
      </c>
      <c r="K12" s="119"/>
      <c r="L12" s="84">
        <v>6</v>
      </c>
      <c r="M12" s="88"/>
      <c r="N12" s="98">
        <v>6</v>
      </c>
      <c r="O12" s="83"/>
      <c r="P12" s="139">
        <v>6</v>
      </c>
      <c r="Q12" s="216">
        <v>7</v>
      </c>
      <c r="R12" s="105">
        <f t="shared" si="1"/>
        <v>6.857142857142857</v>
      </c>
      <c r="S12" s="8">
        <f t="shared" si="2"/>
        <v>7</v>
      </c>
      <c r="T12" s="8">
        <v>9</v>
      </c>
      <c r="U12" s="8">
        <f t="shared" si="3"/>
        <v>8</v>
      </c>
    </row>
    <row r="13" spans="2:21" s="5" customFormat="1" ht="12.75">
      <c r="B13" s="2"/>
      <c r="C13" s="232" t="s">
        <v>0</v>
      </c>
      <c r="D13" s="233"/>
      <c r="E13" s="123"/>
      <c r="F13" s="150"/>
      <c r="G13" s="124">
        <f>AVERAGE(G3:G12)</f>
        <v>6.1</v>
      </c>
      <c r="H13" s="150">
        <f>AVERAGE(H3:H12)</f>
        <v>6.1</v>
      </c>
      <c r="I13" s="123"/>
      <c r="J13" s="124">
        <f>AVERAGE(J3:J12)</f>
        <v>5.3</v>
      </c>
      <c r="K13" s="80"/>
      <c r="L13" s="90">
        <f>AVERAGE(L3:L12)</f>
        <v>5.2</v>
      </c>
      <c r="M13" s="89"/>
      <c r="N13" s="90">
        <f>AVERAGE(N3:N12)</f>
        <v>4.5</v>
      </c>
      <c r="O13" s="89"/>
      <c r="P13" s="134"/>
      <c r="Q13" s="134">
        <f>AVERAGE(Q3:Q12)</f>
        <v>6.375</v>
      </c>
      <c r="R13" s="102">
        <f>AVERAGE(R3:R12)</f>
        <v>5.301626984126984</v>
      </c>
      <c r="S13" s="34">
        <f>AVERAGE(S3:S12)</f>
        <v>5.1</v>
      </c>
      <c r="T13" s="34">
        <f>AVERAGE(T3:T12)</f>
        <v>6.5</v>
      </c>
      <c r="U13" s="34">
        <f>AVERAGE(U3:U12)</f>
        <v>5.8</v>
      </c>
    </row>
    <row r="14" spans="2:19" s="5" customFormat="1" ht="13.5" thickBot="1">
      <c r="B14" s="2"/>
      <c r="C14" s="6"/>
      <c r="D14" s="77"/>
      <c r="E14" s="240" t="s">
        <v>70</v>
      </c>
      <c r="F14" s="229"/>
      <c r="G14" s="241"/>
      <c r="H14" s="116" t="s">
        <v>66</v>
      </c>
      <c r="I14" s="247" t="s">
        <v>194</v>
      </c>
      <c r="J14" s="230"/>
      <c r="K14" s="236" t="s">
        <v>195</v>
      </c>
      <c r="L14" s="235"/>
      <c r="M14" s="234" t="s">
        <v>196</v>
      </c>
      <c r="N14" s="235"/>
      <c r="O14" s="234" t="s">
        <v>197</v>
      </c>
      <c r="P14" s="235"/>
      <c r="Q14" s="129" t="s">
        <v>198</v>
      </c>
      <c r="R14" s="96"/>
      <c r="S14" s="9"/>
    </row>
    <row r="15" spans="2:19" ht="13.5" thickBot="1">
      <c r="B15" s="2"/>
      <c r="C15" s="4" t="s">
        <v>36</v>
      </c>
      <c r="D15" s="78" t="s">
        <v>35</v>
      </c>
      <c r="E15" s="242" t="s">
        <v>76</v>
      </c>
      <c r="F15" s="228"/>
      <c r="G15" s="228"/>
      <c r="H15" s="243"/>
      <c r="I15" s="242" t="s">
        <v>49</v>
      </c>
      <c r="J15" s="228"/>
      <c r="K15" s="228"/>
      <c r="L15" s="228"/>
      <c r="M15" s="228"/>
      <c r="N15" s="228"/>
      <c r="O15" s="228"/>
      <c r="P15" s="228"/>
      <c r="Q15" s="243"/>
      <c r="R15" s="74">
        <f>S15/$B$12</f>
        <v>0.8</v>
      </c>
      <c r="S15" s="8">
        <f>COUNTIF(S3:S12,"&gt;3")</f>
        <v>8</v>
      </c>
    </row>
    <row r="16" spans="2:19" ht="12.75">
      <c r="B16" s="2"/>
      <c r="C16" s="4" t="s">
        <v>37</v>
      </c>
      <c r="D16" s="4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>
        <f>S16/$B$12</f>
        <v>0.4</v>
      </c>
      <c r="S16" s="8">
        <f>COUNTIF(S3:S12,"&gt;6")</f>
        <v>4</v>
      </c>
    </row>
    <row r="18" ht="12.75">
      <c r="C18" t="s">
        <v>175</v>
      </c>
    </row>
  </sheetData>
  <sheetProtection/>
  <mergeCells count="8">
    <mergeCell ref="I15:Q15"/>
    <mergeCell ref="E15:H15"/>
    <mergeCell ref="C13:D13"/>
    <mergeCell ref="K14:L14"/>
    <mergeCell ref="M14:N14"/>
    <mergeCell ref="O14:P14"/>
    <mergeCell ref="I14:J14"/>
    <mergeCell ref="E14:G14"/>
  </mergeCells>
  <conditionalFormatting sqref="U3:U13 S3:T12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R3:R12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1-й семестр</dc:title>
  <dc:subject/>
  <dc:creator>Mike</dc:creator>
  <cp:keywords/>
  <dc:description/>
  <cp:lastModifiedBy>Admin</cp:lastModifiedBy>
  <cp:lastPrinted>2015-06-25T11:18:24Z</cp:lastPrinted>
  <dcterms:created xsi:type="dcterms:W3CDTF">2004-12-18T17:35:54Z</dcterms:created>
  <dcterms:modified xsi:type="dcterms:W3CDTF">2015-06-25T19:35:02Z</dcterms:modified>
  <cp:category/>
  <cp:version/>
  <cp:contentType/>
  <cp:contentStatus/>
</cp:coreProperties>
</file>